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showInkAnnotation="0" codeName="ThisWorkbook" autoCompressPictures="0"/>
  <bookViews>
    <workbookView xWindow="0" yWindow="15" windowWidth="19320" windowHeight="11760" tabRatio="868" activeTab="1"/>
  </bookViews>
  <sheets>
    <sheet name="dati impostazione" sheetId="12" r:id="rId1"/>
    <sheet name="Maschera di Calcolo" sheetId="2" r:id="rId2"/>
    <sheet name="Pagamento accoppiato" sheetId="13" r:id="rId3"/>
    <sheet name="Diversificazione" sheetId="14" state="hidden" r:id="rId4"/>
    <sheet name="EFA" sheetId="15" state="hidden" r:id="rId5"/>
  </sheets>
  <definedNames>
    <definedName name="_Hlk386390542" localSheetId="2">'Pagamento accoppiato'!$A$4</definedName>
    <definedName name="_Hlk389543405" localSheetId="2">'Pagamento accoppiato'!$A$18</definedName>
    <definedName name="_xlnm.Print_Area" localSheetId="1">'Maschera di Calcolo'!$A$1:$AA$66</definedName>
  </definedNames>
  <calcPr calcId="125725"/>
</workbook>
</file>

<file path=xl/calcChain.xml><?xml version="1.0" encoding="utf-8"?>
<calcChain xmlns="http://schemas.openxmlformats.org/spreadsheetml/2006/main">
  <c r="D30" i="2"/>
  <c r="C4" i="14" s="1"/>
  <c r="C32"/>
  <c r="C25"/>
  <c r="C26"/>
  <c r="A19"/>
  <c r="C33"/>
  <c r="C73"/>
  <c r="C51"/>
  <c r="C57"/>
  <c r="B48"/>
  <c r="C53" s="1"/>
  <c r="C52"/>
  <c r="C48"/>
  <c r="C58"/>
  <c r="B44"/>
  <c r="C44" s="1"/>
  <c r="D12" i="2"/>
  <c r="D13" s="1"/>
  <c r="D18" i="12"/>
  <c r="D19" s="1"/>
  <c r="D12"/>
  <c r="D20" s="1"/>
  <c r="D7" i="2"/>
  <c r="C76" i="14"/>
  <c r="G3" i="15"/>
  <c r="G4"/>
  <c r="G6"/>
  <c r="G7"/>
  <c r="G8"/>
  <c r="G9"/>
  <c r="G10"/>
  <c r="G11"/>
  <c r="G12"/>
  <c r="G13"/>
  <c r="G14"/>
  <c r="G15"/>
  <c r="G16"/>
  <c r="G17"/>
  <c r="G18"/>
  <c r="G19"/>
  <c r="G20"/>
  <c r="G21"/>
  <c r="G22"/>
  <c r="D16" i="2"/>
  <c r="H9" i="15"/>
  <c r="C65" i="14"/>
  <c r="C64"/>
  <c r="C63"/>
  <c r="C39"/>
  <c r="C38"/>
  <c r="H56" i="2"/>
  <c r="H4" i="13"/>
  <c r="H5"/>
  <c r="H6"/>
  <c r="H7"/>
  <c r="F8"/>
  <c r="H8"/>
  <c r="H9"/>
  <c r="F10"/>
  <c r="H10" s="1"/>
  <c r="F11"/>
  <c r="H11" s="1"/>
  <c r="H12"/>
  <c r="H13"/>
  <c r="H14"/>
  <c r="H15"/>
  <c r="H16"/>
  <c r="H17"/>
  <c r="H18"/>
  <c r="H19"/>
  <c r="H20"/>
  <c r="H21"/>
  <c r="H22"/>
  <c r="H23"/>
  <c r="G56" i="2"/>
  <c r="F56"/>
  <c r="E56"/>
  <c r="G29"/>
  <c r="G12"/>
  <c r="A11"/>
  <c r="G24" i="15"/>
  <c r="G25" s="1"/>
  <c r="C77" i="14" s="1"/>
  <c r="C59"/>
  <c r="C60"/>
  <c r="C69"/>
  <c r="H24" i="13" l="1"/>
  <c r="D18" i="2" s="1"/>
  <c r="F57" s="1"/>
  <c r="C66" i="14"/>
  <c r="C67" s="1"/>
  <c r="C54"/>
  <c r="D14" i="2"/>
  <c r="B45" i="14"/>
  <c r="C31"/>
  <c r="C37"/>
  <c r="C29"/>
  <c r="C30"/>
  <c r="D6"/>
  <c r="C36"/>
  <c r="B43"/>
  <c r="C43" s="1"/>
  <c r="C28"/>
  <c r="C34"/>
  <c r="D16" s="1"/>
  <c r="D21" i="12"/>
  <c r="D23" i="2" s="1"/>
  <c r="D9"/>
  <c r="B57" s="1"/>
  <c r="D22" i="12"/>
  <c r="D34" i="2" s="1"/>
  <c r="E57" l="1"/>
  <c r="D57"/>
  <c r="G57"/>
  <c r="C57"/>
  <c r="H57"/>
  <c r="B49"/>
  <c r="D17" s="1"/>
  <c r="D24" s="1"/>
  <c r="D39"/>
  <c r="C45" i="14"/>
  <c r="C46" s="1"/>
  <c r="C78"/>
  <c r="C80" s="1"/>
  <c r="B54" i="2" l="1"/>
  <c r="B58" s="1"/>
  <c r="G78"/>
  <c r="G79" s="1"/>
  <c r="C84" i="14"/>
  <c r="C83"/>
  <c r="C78" i="2"/>
  <c r="C79" s="1"/>
  <c r="H78"/>
  <c r="H79" s="1"/>
  <c r="E78"/>
  <c r="E79" s="1"/>
  <c r="F78"/>
  <c r="F79" s="1"/>
  <c r="D78"/>
  <c r="D79" s="1"/>
  <c r="D35"/>
  <c r="D33"/>
  <c r="D32" l="1"/>
  <c r="D36"/>
  <c r="D37" s="1"/>
  <c r="D38" s="1"/>
  <c r="D31"/>
  <c r="B82"/>
  <c r="C85" i="14"/>
  <c r="D25" i="2" l="1"/>
  <c r="G44" s="1"/>
  <c r="G65" s="1"/>
  <c r="G71" s="1"/>
  <c r="H80"/>
  <c r="F80"/>
  <c r="E80"/>
  <c r="G80"/>
  <c r="F44" l="1"/>
  <c r="F65" s="1"/>
  <c r="F71" s="1"/>
  <c r="C44"/>
  <c r="C45" s="1"/>
  <c r="C69" s="1"/>
  <c r="H44"/>
  <c r="H65" s="1"/>
  <c r="H71" s="1"/>
  <c r="E44"/>
  <c r="B26"/>
  <c r="D44"/>
  <c r="G45"/>
  <c r="G69" s="1"/>
  <c r="F45" l="1"/>
  <c r="F69" s="1"/>
  <c r="F70" s="1"/>
  <c r="F72" s="1"/>
  <c r="F60" s="1"/>
  <c r="D45"/>
  <c r="D69" s="1"/>
  <c r="D70" s="1"/>
  <c r="D65"/>
  <c r="C65"/>
  <c r="E45"/>
  <c r="E69" s="1"/>
  <c r="E70" s="1"/>
  <c r="E65"/>
  <c r="E71" s="1"/>
  <c r="H45"/>
  <c r="H69" s="1"/>
  <c r="H70" s="1"/>
  <c r="H72" s="1"/>
  <c r="H60" s="1"/>
  <c r="G70"/>
  <c r="G72" s="1"/>
  <c r="G60" s="1"/>
  <c r="D40"/>
  <c r="D46" s="1"/>
  <c r="D56" s="1"/>
  <c r="C70"/>
  <c r="D71" l="1"/>
  <c r="D72" s="1"/>
  <c r="D60" s="1"/>
  <c r="D50"/>
  <c r="D55" s="1"/>
  <c r="D62" s="1"/>
  <c r="D47"/>
  <c r="D48" s="1"/>
  <c r="D49" s="1"/>
  <c r="B27"/>
  <c r="G46"/>
  <c r="F46"/>
  <c r="E46"/>
  <c r="H46"/>
  <c r="E72"/>
  <c r="E60" s="1"/>
  <c r="C46"/>
  <c r="G50" l="1"/>
  <c r="G55" s="1"/>
  <c r="G47"/>
  <c r="F47"/>
  <c r="F50"/>
  <c r="F55" s="1"/>
  <c r="C56"/>
  <c r="C71" s="1"/>
  <c r="C72" s="1"/>
  <c r="C60" s="1"/>
  <c r="C47"/>
  <c r="C48" s="1"/>
  <c r="C49" s="1"/>
  <c r="C50"/>
  <c r="C55" s="1"/>
  <c r="C62" s="1"/>
  <c r="B28"/>
  <c r="G33"/>
  <c r="E47"/>
  <c r="E48" s="1"/>
  <c r="E49" s="1"/>
  <c r="E61" s="1"/>
  <c r="E50"/>
  <c r="E55" s="1"/>
  <c r="H50"/>
  <c r="H55" s="1"/>
  <c r="H47"/>
  <c r="H48" s="1"/>
  <c r="H49" s="1"/>
  <c r="D54"/>
  <c r="D58" s="1"/>
  <c r="D59" s="1"/>
  <c r="D61"/>
  <c r="E54" l="1"/>
  <c r="E58" s="1"/>
  <c r="E59" s="1"/>
  <c r="H54"/>
  <c r="H58" s="1"/>
  <c r="H59" s="1"/>
  <c r="H61"/>
  <c r="C54"/>
  <c r="C58" s="1"/>
  <c r="C59" s="1"/>
  <c r="C61"/>
  <c r="F48"/>
  <c r="F49" s="1"/>
  <c r="G48"/>
  <c r="G49" s="1"/>
  <c r="E62" l="1"/>
  <c r="H62"/>
  <c r="F61"/>
  <c r="F54"/>
  <c r="F58" s="1"/>
  <c r="F59" s="1"/>
  <c r="G61"/>
  <c r="G54"/>
  <c r="G58" s="1"/>
  <c r="G59" s="1"/>
  <c r="G62" l="1"/>
  <c r="F62"/>
</calcChain>
</file>

<file path=xl/comments1.xml><?xml version="1.0" encoding="utf-8"?>
<comments xmlns="http://schemas.openxmlformats.org/spreadsheetml/2006/main">
  <authors>
    <author>Chiodini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Chiodini:</t>
        </r>
        <r>
          <rPr>
            <sz val="9"/>
            <color indexed="81"/>
            <rFont val="Tahoma"/>
            <family val="2"/>
          </rPr>
          <t xml:space="preserve">
Altezza minima 5m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di larghezza 2-20 m
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con chioma del diametro minimo di quattro metri 
</t>
        </r>
      </text>
    </comment>
    <comment ref="A8" authorId="0">
      <text>
        <r>
          <rPr>
            <sz val="9"/>
            <color indexed="81"/>
            <rFont val="Tahoma"/>
            <family val="2"/>
          </rPr>
          <t>con chioma del diametro minimo di quattro metri (lo spazio tra le chiome non deve essere superiore a 5 metri). Sono ammissibili anche i filari con piante con chioma inferiore a 4mt se appartengono alle specie Cipresso Piramidale, Pippo Cipressino e gli alberi monumentali.</t>
        </r>
      </text>
    </comment>
    <comment ref="A9" authorId="0">
      <text>
        <r>
          <rPr>
            <sz val="9"/>
            <color indexed="81"/>
            <rFont val="Tahoma"/>
            <family val="2"/>
          </rPr>
          <t>nel campo in entrambi i casi su una superficie massima di 0,3 ettari</t>
        </r>
      </text>
    </comment>
    <comment ref="A10" authorId="0">
      <text>
        <r>
          <rPr>
            <sz val="9"/>
            <color indexed="81"/>
            <rFont val="Tahoma"/>
            <family val="2"/>
          </rPr>
          <t>di larghezza compresa tra 1 e 20 metri, sui quali è assente qualsiasi produzione agricola</t>
        </r>
      </text>
    </comment>
    <comment ref="A11" authorId="0">
      <text>
        <r>
          <rPr>
            <sz val="9"/>
            <color indexed="81"/>
            <rFont val="Tahoma"/>
            <family val="2"/>
          </rPr>
          <t>della superficie compresa tra 0,01 e 0,1 ha (non sono considerati Efa i serbatoi di cemento o di plastica)</t>
        </r>
      </text>
    </comment>
    <comment ref="A12" authorId="0">
      <text>
        <r>
          <rPr>
            <sz val="9"/>
            <color indexed="81"/>
            <rFont val="Tahoma"/>
            <family val="2"/>
          </rPr>
          <t>di larghezza massima di 10 metri, compresi corsi d’acqua aperti per irrigazione o drenaggio (non sono considerati Efa i canali con pareti di cemento)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Chiodini:</t>
        </r>
        <r>
          <rPr>
            <sz val="9"/>
            <color indexed="81"/>
            <rFont val="Tahoma"/>
            <family val="2"/>
          </rPr>
          <t xml:space="preserve">
Lunghezza minima 10 metri;
Altezza 0,3-5 metri;
Larghezza: 0,5-5 metri.</t>
        </r>
      </text>
    </comment>
    <comment ref="A14" authorId="0">
      <text>
        <r>
          <rPr>
            <sz val="9"/>
            <color indexed="81"/>
            <rFont val="Tahoma"/>
            <family val="2"/>
          </rPr>
          <t>non elencati sopra, ma protetti dalla BCAA 7*, dal CGO 2* o CGO 3*</t>
        </r>
      </text>
    </comment>
    <comment ref="A15" authorId="0">
      <text>
        <r>
          <rPr>
            <sz val="9"/>
            <color indexed="81"/>
            <rFont val="Tahoma"/>
            <family val="2"/>
          </rPr>
          <t>Le fasce tampone includono il tipo di fasce tampone lungo i corsi d’acqua. La larghezza minima delle fasce tampone  non può essere inferiore a 1 metro e superiore a 5 metri.  Le fasce tampone sono ubicate su un terreno a seminativo o ad esso adiacenti, in modo tale che il loro bordo lungo corra parallelo alla riva di un corso d’acqua o di un corpo idrico. Lungo i corsi d’acqua includono le fasce con vegetazione ripariale di larghezza fino a 10 metri. Sulle fasce tampone è assente qualsiasi produzione agricola. Sono comprese le fasce tampone occupate da prati permanenti, a condizione che queste siano distinte dalla superficie agricola ammissibile adiacente</t>
        </r>
      </text>
    </comment>
    <comment ref="A16" authorId="0">
      <text>
        <r>
          <rPr>
            <sz val="9"/>
            <color indexed="81"/>
            <rFont val="Tahoma"/>
            <family val="2"/>
          </rPr>
          <t>per "sistema agroforestale" si intende un sistema di utilizzazione del suolo nel quale l'arboricoltura forestale è associata all'agricoltura sulla stessa superficie. Vengono considerate quelle superfici che ricevono, o che hanno ricevuto, sostegno a causa di primo impianto di sistemi agroforestali su terreni agricoli. Gli ettari agroforestali sono costituiti da superfici a seminativo ammissibili al regime di pagamento di base o di pagamento unico per superficie</t>
        </r>
      </text>
    </comment>
    <comment ref="A17" authorId="0">
      <text>
        <r>
          <rPr>
            <sz val="9"/>
            <color indexed="81"/>
            <rFont val="Tahoma"/>
            <family val="2"/>
          </rPr>
          <t>Fasce situate lungo le zone periferiche delle foreste. La larghezza minima  non può essere inferiore a 1 metro. La larghezza massima è di 10 metri.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Chiodini:</t>
        </r>
        <r>
          <rPr>
            <sz val="9"/>
            <color indexed="81"/>
            <rFont val="Tahoma"/>
            <family val="2"/>
          </rPr>
          <t xml:space="preserve">
Larghezza minima 1 metro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Chiodini:</t>
        </r>
        <r>
          <rPr>
            <sz val="9"/>
            <color indexed="81"/>
            <rFont val="Tahoma"/>
            <family val="2"/>
          </rPr>
          <t xml:space="preserve">
Larghezza minima 1 metro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sono superfici coltivate con quelle specie arboree costituite da specie legnose perenni, le cui ceppaie rimangono nel terreno dopo la ceduazione, con i nuovi polloni che si sviluppano nella stagione successiva e con un ciclo produttivo massimo che sarà determinato dagli Stati membri. 
Non sono utilizzabili bioinsetticidi
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Si considerano quelle superfici a cui è stato accordato un sostegno per l’imboschimento che comprende un premio annuale destinato a coprire per un periodo non superiore ai 5 anni i costi di manutenzione e un premio annuale per ettaro volto a compensare le perdite di reddito provocate dall’imboschimento per un periodo non superiore a vent’anni (per m²).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Sono costituite da colture che fissano azoto; tali colture sono presenti durante il periodo vegetativo. Le superfici con colture azotofissatrici non comprendono le superfici oggetto di copertura invernale del suolo e colture intercalari</t>
        </r>
      </text>
    </comment>
    <comment ref="A23" authorId="0">
      <text>
        <r>
          <rPr>
            <sz val="9"/>
            <color indexed="81"/>
            <rFont val="Tahoma"/>
            <family val="2"/>
          </rPr>
          <t>comprendono le superfici con colture intercalari o manto vegetale purché esse siano state ottenute mediante la semina di specie vegetali miste o la sotto semina di erba nella coltura principale. Le superfici con colture intercalari o manto vegetale non comprendono le superfici di norma investite a colture invernali seminate in autunno a fini di raccolta o di pascolo. Può anche essere considerato un manto vegetale ottenuto mediante l'impianto o la germinazione di sementi</t>
        </r>
      </text>
    </comment>
  </commentList>
</comments>
</file>

<file path=xl/sharedStrings.xml><?xml version="1.0" encoding="utf-8"?>
<sst xmlns="http://schemas.openxmlformats.org/spreadsheetml/2006/main" count="419" uniqueCount="278">
  <si>
    <t>Greening</t>
  </si>
  <si>
    <t>Anno</t>
  </si>
  <si>
    <t>euro</t>
  </si>
  <si>
    <t>ettari</t>
  </si>
  <si>
    <t>Totale pagamenti diretti</t>
  </si>
  <si>
    <t>Articolo 68</t>
  </si>
  <si>
    <t>X / Y</t>
  </si>
  <si>
    <t>Pagamento di base</t>
  </si>
  <si>
    <t>Accoppiato</t>
  </si>
  <si>
    <t>Giovani agricoltori</t>
  </si>
  <si>
    <t>SAU 2015 (B)</t>
  </si>
  <si>
    <t>Valore unitario iniziale (X / Y) * (A / B)</t>
  </si>
  <si>
    <t>Valore medio dei titoli 2014</t>
  </si>
  <si>
    <t>SAU 2014</t>
  </si>
  <si>
    <t>%</t>
  </si>
  <si>
    <t>SAU ammissibile in IT</t>
  </si>
  <si>
    <t>ha</t>
  </si>
  <si>
    <t>euro/ha</t>
  </si>
  <si>
    <t>Massimale 2014 (allegato VIII, Reg. 1310/2013)</t>
  </si>
  <si>
    <t>Riduzione massimale</t>
  </si>
  <si>
    <t>Massimale nazionale pagamento di base</t>
  </si>
  <si>
    <t>Percentuale pagamento di base</t>
  </si>
  <si>
    <t>Importo pagamenti 2014</t>
  </si>
  <si>
    <t>VUN</t>
  </si>
  <si>
    <t>Pagamenti ricevuti nel 2014</t>
  </si>
  <si>
    <t xml:space="preserve">Legenda = </t>
  </si>
  <si>
    <t>Rapporto VUI 2015/VUN 2019</t>
  </si>
  <si>
    <t>5 aumento forzato al 60% VUN</t>
  </si>
  <si>
    <t>Differenza di 1/3 da recuperare tra VUI e 90%VUN</t>
  </si>
  <si>
    <t>Soglia del 60% del PB</t>
  </si>
  <si>
    <t>3 calcolo normale-nessuna variazione</t>
  </si>
  <si>
    <t>PB 2019 (aumentato di 1/3 della differenza tra VUI e 90% VUN)</t>
  </si>
  <si>
    <t>Rapporto VU 2019/VUN 2019</t>
  </si>
  <si>
    <t>DATI DI INPUT</t>
  </si>
  <si>
    <t>U.M.</t>
  </si>
  <si>
    <t>VUI*SAU=PB 2015 (standard - VUI)</t>
  </si>
  <si>
    <t>VUN*SAU=PB 2019 (standard - VUN)</t>
  </si>
  <si>
    <t>VU*SAU=PB 2019 ridotto (riduzione del 70% del PB 2015)</t>
  </si>
  <si>
    <t>Tipo di criterio di calcolo</t>
  </si>
  <si>
    <t>Valori</t>
  </si>
  <si>
    <t>(inserire SAU domanda 2014)</t>
  </si>
  <si>
    <t>Giovane agricoltore</t>
  </si>
  <si>
    <t>info</t>
  </si>
  <si>
    <t>(immettere "si" se giovane agricoltore; altrimenti "no")</t>
  </si>
  <si>
    <t>1 perdita oltre il 30 vui</t>
  </si>
  <si>
    <t>2 perdita sotto il 30 del vui</t>
  </si>
  <si>
    <t>Dati</t>
  </si>
  <si>
    <t>GIOVANE AGRICOLTORE</t>
  </si>
  <si>
    <t>GRAFICO DEL RISULTATO</t>
  </si>
  <si>
    <t>Si</t>
  </si>
  <si>
    <t>No</t>
  </si>
  <si>
    <t>Percentuale del massimale</t>
  </si>
  <si>
    <t>Condizione</t>
  </si>
  <si>
    <t>Variazione rispetto al 2014</t>
  </si>
  <si>
    <t>4 aumento normale - perché VUI&lt;90% VUN</t>
  </si>
  <si>
    <t>Variazione</t>
  </si>
  <si>
    <t>® Angelo Frascarelli, Gabriele Chiodini, Stefano Ciliberti</t>
  </si>
  <si>
    <t>anno</t>
  </si>
  <si>
    <t>dal 2016</t>
  </si>
  <si>
    <t>(immettere valore pagamenti ricevuti con art. 68)</t>
  </si>
  <si>
    <r>
      <t>Prima del 201</t>
    </r>
    <r>
      <rPr>
        <sz val="10"/>
        <rFont val="Arial"/>
        <family val="2"/>
      </rPr>
      <t>1</t>
    </r>
  </si>
  <si>
    <r>
      <t xml:space="preserve"> (prima del 201</t>
    </r>
    <r>
      <rPr>
        <sz val="12"/>
        <rFont val="Arial"/>
        <family val="2"/>
      </rPr>
      <t>1</t>
    </r>
    <r>
      <rPr>
        <sz val="12"/>
        <rFont val="Arial"/>
        <family val="2"/>
      </rPr>
      <t>; 2011; 2012; 2013; 2014; 2015; dal 2016)</t>
    </r>
  </si>
  <si>
    <t>REGIONE UNICA</t>
  </si>
  <si>
    <t>Massimale 2013 (allegato VIII, Reg. 914/2013)</t>
  </si>
  <si>
    <t>Massimale IT</t>
  </si>
  <si>
    <t>58% base, 30% greening, 1% giovani, 11% accoppiato, 1,74% riserva, +3% overbooking massimale</t>
  </si>
  <si>
    <t>Sostegno accoppiato (art. 52 reg. 1307/2013)</t>
  </si>
  <si>
    <t>Articolo 68 compreso nel calcolo VUI</t>
  </si>
  <si>
    <t>(tabacco, patate, Danae Racemosa)</t>
  </si>
  <si>
    <t>MASCHERA DI CALCOLO DEI PAGAMENTI DIRETTI 2014-2020</t>
  </si>
  <si>
    <t>SETTORI</t>
  </si>
  <si>
    <t>MISURA</t>
  </si>
  <si>
    <t>TERRITORIO</t>
  </si>
  <si>
    <t>PLAFOND</t>
  </si>
  <si>
    <t>IMPORTO STIMATO</t>
  </si>
  <si>
    <t>Milioni di euro</t>
  </si>
  <si>
    <t>euro/capo o euro/ha</t>
  </si>
  <si>
    <t>LATTE</t>
  </si>
  <si>
    <t>Premi alle vacche da latte</t>
  </si>
  <si>
    <t>nazionale</t>
  </si>
  <si>
    <r>
      <t>Premi aggiuntivi alle vacche da latte</t>
    </r>
    <r>
      <rPr>
        <sz val="10"/>
        <rFont val="Times New Roman"/>
        <family val="1"/>
      </rPr>
      <t xml:space="preserve"> in zone montane</t>
    </r>
  </si>
  <si>
    <t>Premi alle bufale</t>
  </si>
  <si>
    <t>CARNE</t>
  </si>
  <si>
    <t xml:space="preserve">Premi alle vacche nutrici </t>
  </si>
  <si>
    <t xml:space="preserve">Premi ai bovini macellati 12-24 mesi </t>
  </si>
  <si>
    <t>OVI-CAPRINO</t>
  </si>
  <si>
    <t>Premi alle agnelle</t>
  </si>
  <si>
    <t>Premi a capi ovi-caprini macellati certifica DOP o IGP</t>
  </si>
  <si>
    <t>FRUMENTO DURO, COLTURE PROTEICHE E PROTEAGINOSE</t>
  </si>
  <si>
    <t>Premi alla coltivazione di soia</t>
  </si>
  <si>
    <t>Piemonte, Lombardia, Veneto, Friuli, Emilia Romagna</t>
  </si>
  <si>
    <t>Premi alla coltivazione di frumento duro</t>
  </si>
  <si>
    <t>Toscana, Umbria, Marche, Lazio, Abruzzo, Molise, Campania, Puglia, Basilicata, Calabria, Sicilia, Sardegna</t>
  </si>
  <si>
    <t>Toscana, Umbria, Marche, Lazio</t>
  </si>
  <si>
    <t>Premi alla coltivazione di leguminose da granella</t>
  </si>
  <si>
    <t>Abruzzo, Molise, Campania, Puglia, Basilicata, Calabria, Sicilia, Sardegna</t>
  </si>
  <si>
    <t>RISO</t>
  </si>
  <si>
    <t>Premi alla coltivazione di riso</t>
  </si>
  <si>
    <t>BARBABIETOLA</t>
  </si>
  <si>
    <t>Premi alla coltivazione di barbabietola da zucchero</t>
  </si>
  <si>
    <t>POMODORO DA INDUSTRIA</t>
  </si>
  <si>
    <t>Premi alla coltivazione di pomodoro da industria</t>
  </si>
  <si>
    <t>OLIO DI OLIVA</t>
  </si>
  <si>
    <t>Premi alle superfici olivicole</t>
  </si>
  <si>
    <t>Liguria, Puglia, Calabria</t>
  </si>
  <si>
    <t>Premi alle superfici olivicole con una pendenza media superiore al 7,5%</t>
  </si>
  <si>
    <t>Puglia, Calabria</t>
  </si>
  <si>
    <t>Premi alle superfici olivicole di particolare rilevanza economica, sociale, territoriale e ambientale</t>
  </si>
  <si>
    <t>TOTALE</t>
  </si>
  <si>
    <t>CONSISTENZA</t>
  </si>
  <si>
    <t>€</t>
  </si>
  <si>
    <t>v.a.</t>
  </si>
  <si>
    <t>SAU 2015</t>
  </si>
  <si>
    <t>(Inserire solo se diverso dal 2014)</t>
  </si>
  <si>
    <t>PAGAMENTI ACCOPPIATI (art. 57 reg. 1307/2013)</t>
  </si>
  <si>
    <r>
      <rPr>
        <sz val="12"/>
        <rFont val="Arial"/>
        <family val="2"/>
      </rPr>
      <t>(</t>
    </r>
    <r>
      <rPr>
        <sz val="12"/>
        <rFont val="Arial"/>
        <family val="2"/>
      </rPr>
      <t>compilare il foglio apposito)</t>
    </r>
  </si>
  <si>
    <t>Eventuale aumento da versare nella riserva per guadagno insperato</t>
  </si>
  <si>
    <t>Dal 2014 al 2015 la SAU si è ridotta per la scadenza di un contratto di affitto di durata inferiore ad 1 anno?</t>
  </si>
  <si>
    <t>Convalida dati Giovane agricoltore</t>
  </si>
  <si>
    <t>Calcolati sulla SAU 2015</t>
  </si>
  <si>
    <t>Calcolati sulla SAU 2014</t>
  </si>
  <si>
    <t>Valore dei titoli di base dell'azienda (€)</t>
  </si>
  <si>
    <t xml:space="preserve">   </t>
  </si>
  <si>
    <t>Reali (senza eventuale degressività)</t>
  </si>
  <si>
    <t>Inserire il costo del lavoro</t>
  </si>
  <si>
    <t xml:space="preserve">
Tipo di calcolo:</t>
  </si>
  <si>
    <t>dell'azienda:</t>
  </si>
  <si>
    <t>Valore dei titoli al 01/12/2014 attivati dall'agricoltore</t>
  </si>
  <si>
    <t>(inserire valore valore titoli 2014 dopo riduzione del 8,41%)</t>
  </si>
  <si>
    <t>Riduzione disciplina finanziaria</t>
  </si>
  <si>
    <t>Pagamenti ricevuti nel 2014 - art. 26 Reg. 1307/2013 (A)</t>
  </si>
  <si>
    <t>Mssimale regime di pagamento unico (Reg. 1044/2014)</t>
  </si>
  <si>
    <t>Perdita pagamento di Base</t>
  </si>
  <si>
    <t>Perdita greening</t>
  </si>
  <si>
    <t>Effetto Guadagno Insperato</t>
  </si>
  <si>
    <t>Totale</t>
  </si>
  <si>
    <t>Perdita per l'applicazione del guadagno Insperato</t>
  </si>
  <si>
    <t>Titolo giovani agricoltore Ante Guadagno Insperato</t>
  </si>
  <si>
    <t>Pagamento di base (degressività 150000)</t>
  </si>
  <si>
    <t>Rimanenza costo del lavoro</t>
  </si>
  <si>
    <t>Bovini macellati allevati per almeno 12 mesi nelle aziende dei richiedenti o aderenti a sistema di qualità nazionale o regionale o a sistemi di etichettatura facoltativi riconosciuti</t>
  </si>
  <si>
    <t>Vacche nutrici di razza Chianina, Maremmana, Marchigiana, Romagnola, Podolica in allevamenti che aderiscono a piani di risanamento da IBR</t>
  </si>
  <si>
    <t>Bovini macellati con certificazione IGP</t>
  </si>
  <si>
    <t>Rapporto ariticolo 68/valore dei titoli</t>
  </si>
  <si>
    <t>Rapporto Artcolo 68 compreso nel VUI/Articolo 68 tot</t>
  </si>
  <si>
    <t>Premi alla coltivazione di colture proteoleaginose</t>
  </si>
  <si>
    <t>Perdita per il mancato rispetto del greening</t>
  </si>
  <si>
    <t>Perdita per l'applicazione della degressività</t>
  </si>
  <si>
    <t>Degressività?</t>
  </si>
  <si>
    <t>Sistema di Calcolo del rispetto del Greening</t>
  </si>
  <si>
    <t>Dati dell'azienda</t>
  </si>
  <si>
    <t>L'azienda è biologica?</t>
  </si>
  <si>
    <t>SAU (ha)</t>
  </si>
  <si>
    <t>Seminativi (ha)</t>
  </si>
  <si>
    <t>Prati Permanenti convertiti nel 2015 senza autorizzazione (ha)</t>
  </si>
  <si>
    <t>L'azienda possiede superfici con colture sommerse, destinate ad erba o piante erbacee da foraggio, a riposo o con leguminose?</t>
  </si>
  <si>
    <t>Indicare la superficie con colture sommerse (ha)</t>
  </si>
  <si>
    <t>Indicare la superficie a erba o altre piante erbacee da foraggio (ha)</t>
  </si>
  <si>
    <t>Indicare la superficie a riposo (ha)</t>
  </si>
  <si>
    <t>Indicare la superficie a leguminose (ha)</t>
  </si>
  <si>
    <t>Numero di colture praticate sui seminativi (v.a.)</t>
  </si>
  <si>
    <t>Indicare la superficie occupata alla coltura principale (ha)</t>
  </si>
  <si>
    <t>Indicare la superficie occupata alla seconda coltura (ha)</t>
  </si>
  <si>
    <t>Superficie destinata ad Ecological Focus Area (mq)</t>
  </si>
  <si>
    <t>Premere Qui</t>
  </si>
  <si>
    <t xml:space="preserve">                                                                                                                                                                                                 </t>
  </si>
  <si>
    <t>Convalida dati</t>
  </si>
  <si>
    <t xml:space="preserve">Altre condizioni </t>
  </si>
  <si>
    <t>Azienda in cui i seminativi sono occupati per più del 75% da ebai, foraggere o a riposo.</t>
  </si>
  <si>
    <t>Azienda in cui i seminativi rimanenti (non occupati da ebai, foraggere o a riposo) sono occupati al massimo per il 75% da una coltura</t>
  </si>
  <si>
    <t xml:space="preserve">Esoneri </t>
  </si>
  <si>
    <t>Azienda senza seminativi e prati permamenti, greening per definizione</t>
  </si>
  <si>
    <t>Azienda senza seminativi, esonerata dall'obbligo della diversificazione e delle EFA</t>
  </si>
  <si>
    <t>Esonerata dalla diversificazione (art. 44-3a) e EFA (46-4b)</t>
  </si>
  <si>
    <t>Esonerata dalle EFA (46-4b)</t>
  </si>
  <si>
    <t>Esonerata dalla diversificazione (artr. 44-3b) e EFA (46-4b)</t>
  </si>
  <si>
    <t>Controllo dati</t>
  </si>
  <si>
    <t>Superamento SAU</t>
  </si>
  <si>
    <t>Superamento seminativi-1</t>
  </si>
  <si>
    <t>Superamento seminativi-2</t>
  </si>
  <si>
    <t>Risultato</t>
  </si>
  <si>
    <t>Requisiti da rispettare</t>
  </si>
  <si>
    <t>Rispetto dei requisiti da parte dell'azienda</t>
  </si>
  <si>
    <t>Diversificazione</t>
  </si>
  <si>
    <t>Prati e pascoli permanenti</t>
  </si>
  <si>
    <t>Introduzione Ecological Focus Area</t>
  </si>
  <si>
    <t>Rispetto del Greening:</t>
  </si>
  <si>
    <t>Ripartizione % superfici</t>
  </si>
  <si>
    <t>Diversificazione: Superamento soglia del 75% coltura principale</t>
  </si>
  <si>
    <t>soglia</t>
  </si>
  <si>
    <t>% Coltura principale</t>
  </si>
  <si>
    <t>Superficie da destinare ad altre colture</t>
  </si>
  <si>
    <t>Tasso di differenza</t>
  </si>
  <si>
    <t>eccedenza limite /superficie altre colture</t>
  </si>
  <si>
    <t>Riduzione superficie pagamenti (ha)</t>
  </si>
  <si>
    <t>Superfici a seminativi X 0,5 X tasso di differenza</t>
  </si>
  <si>
    <t>Diversificazione: superamento soglia del 95% delle 2 colture</t>
  </si>
  <si>
    <t>% Colture principali</t>
  </si>
  <si>
    <t>Diversificazione: superamento soglia del 75% prima coltura e del 95% delle 2 colture</t>
  </si>
  <si>
    <t>% coltura principale</t>
  </si>
  <si>
    <t>% Coltura secondaria</t>
  </si>
  <si>
    <t>Riduzione superficie pagamenti da considerare per non rispetto diversificazione</t>
  </si>
  <si>
    <t>Prati permanenti</t>
  </si>
  <si>
    <t>Riduzione superficie pagamenti da considerare per non rispetto prati permanenti</t>
  </si>
  <si>
    <t>Aree di interesse ecologico</t>
  </si>
  <si>
    <t>EFA richiesta</t>
  </si>
  <si>
    <t>Riduzione superficie pagamenti da considerare per non rispetto EFA (ha)</t>
  </si>
  <si>
    <t>Riduzione totale superficie pagamenti da considerare per non rispetto greening (ha)</t>
  </si>
  <si>
    <t>Sanzioni</t>
  </si>
  <si>
    <t>Riduzione percentuale superficie di calcolo</t>
  </si>
  <si>
    <t>Superficie da utilizzare per il calcolo del pagamento greening se differenza non è maggiore del 20%</t>
  </si>
  <si>
    <t>Calcolo Ecological Focus Area</t>
  </si>
  <si>
    <t>Elementi di EFA</t>
  </si>
  <si>
    <t>Efa Superficie prima della conversione</t>
  </si>
  <si>
    <t>Fattore di conversione (m/albero/m²)</t>
  </si>
  <si>
    <t>Fattore di ponderazione</t>
  </si>
  <si>
    <t>Efa 
(se si applicano entrambi i fattori)</t>
  </si>
  <si>
    <r>
      <t>Superficie Efa convertita 
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</si>
  <si>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r>
      <t>Terreni lasciati a riposo</t>
    </r>
    <r>
      <rPr>
        <sz val="12"/>
        <color indexed="8"/>
        <rFont val="Times New Roman"/>
        <family val="1"/>
      </rPr>
      <t xml:space="preserve"> (per m²).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</si>
  <si>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</si>
  <si>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n.p.</t>
  </si>
  <si>
    <r>
      <t>1 m</t>
    </r>
    <r>
      <rPr>
        <vertAlign val="superscript"/>
        <sz val="12"/>
        <color indexed="8"/>
        <rFont val="Times New Roman"/>
        <family val="1"/>
      </rPr>
      <t>2</t>
    </r>
  </si>
  <si>
    <t>Terrazze</t>
  </si>
  <si>
    <t>ml</t>
  </si>
  <si>
    <r>
      <t>2 m</t>
    </r>
    <r>
      <rPr>
        <vertAlign val="superscript"/>
        <sz val="12"/>
        <color indexed="8"/>
        <rFont val="Times New Roman"/>
        <family val="1"/>
      </rPr>
      <t>2</t>
    </r>
  </si>
  <si>
    <t>Elementi caratteristici del paesaggio:</t>
  </si>
  <si>
    <r>
      <t xml:space="preserve">    a) </t>
    </r>
    <r>
      <rPr>
        <u/>
        <sz val="12"/>
        <color indexed="8"/>
        <rFont val="Times New Roman"/>
        <family val="1"/>
      </rPr>
      <t>Siepi/fasce alberate</t>
    </r>
  </si>
  <si>
    <r>
      <t>10 m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</si>
  <si>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b) </t>
    </r>
    <r>
      <rPr>
        <u/>
        <sz val="12"/>
        <color indexed="8"/>
        <rFont val="Times New Roman"/>
        <family val="1"/>
      </rPr>
      <t>Alberi isolati</t>
    </r>
    <r>
      <rPr>
        <sz val="12"/>
        <color indexed="8"/>
        <rFont val="Times New Roman"/>
        <family val="1"/>
      </rPr>
      <t xml:space="preserve"> </t>
    </r>
  </si>
  <si>
    <r>
      <t>30 m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</si>
  <si>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c) </t>
    </r>
    <r>
      <rPr>
        <u/>
        <sz val="12"/>
        <color indexed="8"/>
        <rFont val="Times New Roman"/>
        <family val="1"/>
      </rPr>
      <t>Alberi in filari</t>
    </r>
    <r>
      <rPr>
        <sz val="12"/>
        <color indexed="8"/>
        <rFont val="Times New Roman"/>
        <family val="1"/>
      </rPr>
      <t xml:space="preserve"> </t>
    </r>
  </si>
  <si>
    <r>
      <t xml:space="preserve">    d)  </t>
    </r>
    <r>
      <rPr>
        <u/>
        <sz val="12"/>
        <color indexed="8"/>
        <rFont val="Times New Roman"/>
        <family val="1"/>
      </rPr>
      <t>Gruppi di alberi/ boschetti</t>
    </r>
  </si>
  <si>
    <r>
      <t>1,5 m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</si>
  <si>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e)  </t>
    </r>
    <r>
      <rPr>
        <u/>
        <sz val="12"/>
        <color indexed="8"/>
        <rFont val="Times New Roman"/>
        <family val="1"/>
      </rPr>
      <t>Bordi dei campi</t>
    </r>
  </si>
  <si>
    <r>
      <t>9 m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</si>
  <si>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f)   </t>
    </r>
    <r>
      <rPr>
        <u/>
        <sz val="12"/>
        <color indexed="8"/>
        <rFont val="Times New Roman"/>
        <family val="1"/>
      </rPr>
      <t>Stagni</t>
    </r>
  </si>
  <si>
    <r>
      <t xml:space="preserve">    g)  </t>
    </r>
    <r>
      <rPr>
        <u/>
        <sz val="12"/>
        <color indexed="8"/>
        <rFont val="Times New Roman"/>
        <family val="1"/>
      </rPr>
      <t>Fossati</t>
    </r>
  </si>
  <si>
    <r>
      <t>6 m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</si>
  <si>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h)  </t>
    </r>
    <r>
      <rPr>
        <u/>
        <sz val="12"/>
        <color indexed="8"/>
        <rFont val="Times New Roman"/>
        <family val="1"/>
      </rPr>
      <t>Muretti di pietra tradizionali</t>
    </r>
  </si>
  <si>
    <r>
      <t xml:space="preserve">    i)  </t>
    </r>
    <r>
      <rPr>
        <u/>
        <sz val="12"/>
        <color indexed="8"/>
        <rFont val="Times New Roman"/>
        <family val="1"/>
      </rPr>
      <t>Altri elementi caratteristici adiacenti ai seminativi dell’azienda</t>
    </r>
    <r>
      <rPr>
        <sz val="12"/>
        <color indexed="8"/>
        <rFont val="Times New Roman"/>
        <family val="1"/>
      </rPr>
      <t xml:space="preserve"> </t>
    </r>
  </si>
  <si>
    <t>Fasce tampone</t>
  </si>
  <si>
    <t>Ettari agroforestali</t>
  </si>
  <si>
    <r>
      <t>Fasce di ettari ammissibili lungo i bordi forestali</t>
    </r>
    <r>
      <rPr>
        <sz val="12"/>
        <color indexed="8"/>
        <rFont val="Times New Roman"/>
        <family val="1"/>
      </rPr>
      <t xml:space="preserve">: </t>
    </r>
  </si>
  <si>
    <r>
      <t>ü</t>
    </r>
    <r>
      <rPr>
        <sz val="12"/>
        <color indexed="8"/>
        <rFont val="Times New Roman"/>
        <family val="1"/>
      </rPr>
      <t>  Senza produzione</t>
    </r>
  </si>
  <si>
    <r>
      <t>ü</t>
    </r>
    <r>
      <rPr>
        <sz val="12"/>
        <color indexed="8"/>
        <rFont val="Times New Roman"/>
        <family val="1"/>
      </rPr>
      <t>  Con produzione</t>
    </r>
  </si>
  <si>
    <r>
      <t>1,8 m</t>
    </r>
    <r>
      <rPr>
        <vertAlign val="superscript"/>
        <sz val="12"/>
        <color indexed="8"/>
        <rFont val="Times New Roman"/>
        <family val="1"/>
      </rPr>
      <t>2</t>
    </r>
  </si>
  <si>
    <t>Superfici con bosco ceduo a rotazione rapida</t>
  </si>
  <si>
    <t>n.p</t>
  </si>
  <si>
    <r>
      <t>0,3 m</t>
    </r>
    <r>
      <rPr>
        <vertAlign val="superscript"/>
        <sz val="12"/>
        <color indexed="8"/>
        <rFont val="Times New Roman"/>
        <family val="1"/>
      </rPr>
      <t>2</t>
    </r>
  </si>
  <si>
    <t>Superfici oggetto di imboschimento</t>
  </si>
  <si>
    <r>
      <t>Superfici con colture azotofissatrici</t>
    </r>
    <r>
      <rPr>
        <sz val="12"/>
        <color indexed="8"/>
        <rFont val="Times New Roman"/>
        <family val="1"/>
      </rPr>
      <t xml:space="preserve"> </t>
    </r>
  </si>
  <si>
    <r>
      <t>0,7 m</t>
    </r>
    <r>
      <rPr>
        <vertAlign val="superscript"/>
        <sz val="12"/>
        <color indexed="8"/>
        <rFont val="Times New Roman"/>
        <family val="1"/>
      </rPr>
      <t>2</t>
    </r>
  </si>
  <si>
    <r>
      <t>Superfici con colture intercalari o manto vegetale</t>
    </r>
    <r>
      <rPr>
        <sz val="12"/>
        <color indexed="8"/>
        <rFont val="Times New Roman"/>
        <family val="1"/>
      </rPr>
      <t xml:space="preserve"> (*)</t>
    </r>
  </si>
  <si>
    <t>Totale=</t>
  </si>
  <si>
    <r>
      <t>m</t>
    </r>
    <r>
      <rPr>
        <b/>
        <vertAlign val="superscript"/>
        <sz val="12"/>
        <color indexed="8"/>
        <rFont val="Times New Roman"/>
        <family val="1"/>
      </rPr>
      <t>2</t>
    </r>
  </si>
  <si>
    <t>(*) L'Italia ha deciso di non utilizzare questo elemento di EFA.</t>
  </si>
  <si>
    <t>Premere qui</t>
  </si>
  <si>
    <t>Sanzioni non rispetto greening olre 50% riduzione superfici</t>
  </si>
  <si>
    <t>Riduzione (%) superfici oggetto di pagamento greening</t>
  </si>
  <si>
    <t>Tipologie pagamenti</t>
  </si>
  <si>
    <t>Effetti sul Pagamento Greening in relazione alle scelte</t>
  </si>
  <si>
    <t>Valutare il greening</t>
  </si>
  <si>
    <t>Valutare il rispetto del greening in relazione alle scelte?</t>
  </si>
  <si>
    <t>Rispetta il greening?</t>
  </si>
  <si>
    <t>Cond.Rispetto greeing</t>
  </si>
  <si>
    <t>Netto SAU soggetto a pagamento greening</t>
  </si>
  <si>
    <t>Riduzione superficie non rispetto greening</t>
  </si>
  <si>
    <t>Riduzione totale superficie considerando le sanzioni (ha)</t>
  </si>
  <si>
    <t>Prati permanenti (ha)</t>
  </si>
  <si>
    <t>Colture Permanenti Legnose (ha)</t>
  </si>
  <si>
    <t>Azienda esonerata dalla diversificazione perché ha medo di 10 ha diseminativi</t>
  </si>
  <si>
    <t>Azienda esonerata dalle EFA perché ha medo di 15 ha diseminativi</t>
  </si>
  <si>
    <t>si</t>
  </si>
  <si>
    <t>Autori: Angelo Frascarelli, Gabriele Chiodini, Stefano Ciliberti</t>
  </si>
  <si>
    <t xml:space="preserve">Informativa sulla licenza: </t>
  </si>
  <si>
    <t>http://creativecommons.org/licenses/by-nc-sa/4.0/legalcode</t>
  </si>
  <si>
    <t>Informativa sull'esonero da responsabilità:</t>
  </si>
  <si>
    <t>http://creativecommons.org/licenses/by-nc-sa/4.0/</t>
  </si>
</sst>
</file>

<file path=xl/styles.xml><?xml version="1.0" encoding="utf-8"?>
<styleSheet xmlns="http://schemas.openxmlformats.org/spreadsheetml/2006/main">
  <numFmts count="1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_-* #,##0.0_-;\-* #,##0.0_-;_-* &quot;-&quot;?_-;_-@_-"/>
    <numFmt numFmtId="170" formatCode="0_ ;\-0\ "/>
    <numFmt numFmtId="171" formatCode="0.000000%"/>
    <numFmt numFmtId="172" formatCode="0.0"/>
    <numFmt numFmtId="173" formatCode="0.00000"/>
    <numFmt numFmtId="174" formatCode="0.0000000000000000000000000000000"/>
  </numFmts>
  <fonts count="7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Wingdings"/>
      <charset val="2"/>
    </font>
    <font>
      <i/>
      <sz val="10"/>
      <color indexed="8"/>
      <name val="Calibri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9"/>
      <color indexed="81"/>
      <name val="Tahoma"/>
      <family val="2"/>
    </font>
    <font>
      <sz val="20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4"/>
      <color theme="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7"/>
        <bgColor indexed="5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009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9" fontId="2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Border="1"/>
    <xf numFmtId="0" fontId="9" fillId="2" borderId="1" xfId="0" applyFont="1" applyFill="1" applyBorder="1"/>
    <xf numFmtId="165" fontId="7" fillId="2" borderId="2" xfId="1" applyNumberFormat="1" applyFont="1" applyFill="1" applyBorder="1"/>
    <xf numFmtId="0" fontId="6" fillId="3" borderId="3" xfId="0" applyFont="1" applyFill="1" applyBorder="1" applyAlignment="1">
      <alignment wrapText="1"/>
    </xf>
    <xf numFmtId="9" fontId="6" fillId="3" borderId="4" xfId="4" applyFont="1" applyFill="1" applyBorder="1"/>
    <xf numFmtId="0" fontId="10" fillId="4" borderId="2" xfId="0" applyFont="1" applyFill="1" applyBorder="1" applyAlignment="1">
      <alignment horizontal="center" wrapText="1"/>
    </xf>
    <xf numFmtId="165" fontId="7" fillId="2" borderId="5" xfId="1" applyNumberFormat="1" applyFont="1" applyFill="1" applyBorder="1"/>
    <xf numFmtId="0" fontId="0" fillId="0" borderId="0" xfId="0" applyAlignment="1">
      <alignment horizontal="center"/>
    </xf>
    <xf numFmtId="167" fontId="0" fillId="0" borderId="0" xfId="2" applyNumberFormat="1" applyFont="1"/>
    <xf numFmtId="167" fontId="0" fillId="0" borderId="0" xfId="0" applyNumberFormat="1"/>
    <xf numFmtId="168" fontId="0" fillId="0" borderId="0" xfId="4" applyNumberFormat="1" applyFont="1"/>
    <xf numFmtId="10" fontId="0" fillId="0" borderId="0" xfId="4" applyNumberFormat="1" applyFont="1"/>
    <xf numFmtId="0" fontId="0" fillId="0" borderId="0" xfId="0" applyFill="1"/>
    <xf numFmtId="43" fontId="9" fillId="5" borderId="2" xfId="2" applyFont="1" applyFill="1" applyBorder="1" applyAlignment="1">
      <alignment horizontal="left"/>
    </xf>
    <xf numFmtId="168" fontId="9" fillId="5" borderId="2" xfId="2" applyNumberFormat="1" applyFont="1" applyFill="1" applyBorder="1" applyAlignment="1">
      <alignment horizontal="right"/>
    </xf>
    <xf numFmtId="167" fontId="9" fillId="5" borderId="2" xfId="2" applyNumberFormat="1" applyFont="1" applyFill="1" applyBorder="1" applyAlignment="1">
      <alignment horizontal="left"/>
    </xf>
    <xf numFmtId="166" fontId="9" fillId="5" borderId="2" xfId="2" applyNumberFormat="1" applyFont="1" applyFill="1" applyBorder="1" applyAlignment="1">
      <alignment horizontal="left"/>
    </xf>
    <xf numFmtId="0" fontId="0" fillId="6" borderId="0" xfId="0" applyFill="1" applyBorder="1"/>
    <xf numFmtId="0" fontId="0" fillId="6" borderId="6" xfId="0" applyFill="1" applyBorder="1"/>
    <xf numFmtId="43" fontId="11" fillId="6" borderId="0" xfId="0" applyNumberFormat="1" applyFont="1" applyFill="1" applyBorder="1"/>
    <xf numFmtId="43" fontId="0" fillId="6" borderId="0" xfId="0" applyNumberFormat="1" applyFill="1" applyBorder="1"/>
    <xf numFmtId="0" fontId="11" fillId="6" borderId="0" xfId="0" applyFont="1" applyFill="1" applyBorder="1"/>
    <xf numFmtId="169" fontId="0" fillId="6" borderId="0" xfId="0" applyNumberFormat="1" applyFill="1" applyBorder="1"/>
    <xf numFmtId="1" fontId="0" fillId="6" borderId="0" xfId="0" applyNumberForma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10" fillId="6" borderId="2" xfId="0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43" fontId="0" fillId="0" borderId="0" xfId="0" applyNumberFormat="1" applyFill="1" applyBorder="1"/>
    <xf numFmtId="0" fontId="9" fillId="8" borderId="11" xfId="0" applyFont="1" applyFill="1" applyBorder="1"/>
    <xf numFmtId="165" fontId="7" fillId="8" borderId="12" xfId="1" applyNumberFormat="1" applyFont="1" applyFill="1" applyBorder="1"/>
    <xf numFmtId="0" fontId="9" fillId="9" borderId="1" xfId="0" applyFont="1" applyFill="1" applyBorder="1"/>
    <xf numFmtId="165" fontId="7" fillId="9" borderId="2" xfId="1" applyNumberFormat="1" applyFont="1" applyFill="1" applyBorder="1"/>
    <xf numFmtId="43" fontId="9" fillId="0" borderId="2" xfId="2" applyFont="1" applyBorder="1" applyAlignment="1" applyProtection="1">
      <alignment horizontal="left"/>
      <protection locked="0"/>
    </xf>
    <xf numFmtId="43" fontId="9" fillId="0" borderId="2" xfId="2" applyFont="1" applyFill="1" applyBorder="1" applyAlignment="1" applyProtection="1">
      <alignment horizontal="left"/>
      <protection locked="0"/>
    </xf>
    <xf numFmtId="43" fontId="9" fillId="0" borderId="2" xfId="2" applyFont="1" applyBorder="1" applyAlignment="1" applyProtection="1">
      <alignment horizontal="center"/>
      <protection locked="0"/>
    </xf>
    <xf numFmtId="0" fontId="13" fillId="10" borderId="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0" fillId="6" borderId="0" xfId="0" applyFill="1"/>
    <xf numFmtId="43" fontId="18" fillId="6" borderId="0" xfId="0" applyNumberFormat="1" applyFont="1" applyFill="1" applyBorder="1"/>
    <xf numFmtId="43" fontId="9" fillId="5" borderId="2" xfId="2" applyFont="1" applyFill="1" applyBorder="1" applyAlignment="1">
      <alignment horizontal="right"/>
    </xf>
    <xf numFmtId="0" fontId="10" fillId="12" borderId="2" xfId="0" applyFont="1" applyFill="1" applyBorder="1" applyAlignment="1">
      <alignment horizontal="center" wrapText="1"/>
    </xf>
    <xf numFmtId="0" fontId="9" fillId="12" borderId="2" xfId="2" applyNumberFormat="1" applyFont="1" applyFill="1" applyBorder="1" applyAlignment="1" applyProtection="1">
      <alignment horizontal="right"/>
      <protection locked="0"/>
    </xf>
    <xf numFmtId="0" fontId="20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wrapText="1"/>
    </xf>
    <xf numFmtId="0" fontId="20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wrapText="1"/>
    </xf>
    <xf numFmtId="0" fontId="0" fillId="13" borderId="2" xfId="0" applyFill="1" applyBorder="1"/>
    <xf numFmtId="0" fontId="21" fillId="11" borderId="2" xfId="0" applyFont="1" applyFill="1" applyBorder="1" applyAlignment="1">
      <alignment wrapText="1"/>
    </xf>
    <xf numFmtId="0" fontId="19" fillId="11" borderId="2" xfId="0" applyFont="1" applyFill="1" applyBorder="1" applyAlignment="1">
      <alignment wrapText="1"/>
    </xf>
    <xf numFmtId="0" fontId="0" fillId="11" borderId="2" xfId="0" applyFill="1" applyBorder="1"/>
    <xf numFmtId="165" fontId="7" fillId="8" borderId="14" xfId="1" applyNumberFormat="1" applyFont="1" applyFill="1" applyBorder="1"/>
    <xf numFmtId="0" fontId="0" fillId="11" borderId="2" xfId="0" applyFill="1" applyBorder="1" applyProtection="1">
      <protection locked="0"/>
    </xf>
    <xf numFmtId="0" fontId="0" fillId="13" borderId="2" xfId="0" applyFill="1" applyBorder="1" applyProtection="1">
      <protection locked="0"/>
    </xf>
    <xf numFmtId="43" fontId="26" fillId="6" borderId="15" xfId="2" applyFont="1" applyFill="1" applyBorder="1" applyAlignment="1" applyProtection="1">
      <alignment vertical="center" wrapText="1"/>
      <protection locked="0"/>
    </xf>
    <xf numFmtId="43" fontId="9" fillId="12" borderId="16" xfId="2" applyFont="1" applyFill="1" applyBorder="1" applyAlignment="1" applyProtection="1">
      <alignment horizontal="center" vertical="center" wrapText="1"/>
      <protection locked="0"/>
    </xf>
    <xf numFmtId="9" fontId="6" fillId="3" borderId="17" xfId="4" applyFont="1" applyFill="1" applyBorder="1"/>
    <xf numFmtId="0" fontId="8" fillId="15" borderId="3" xfId="0" applyFont="1" applyFill="1" applyBorder="1"/>
    <xf numFmtId="165" fontId="7" fillId="16" borderId="2" xfId="1" applyNumberFormat="1" applyFont="1" applyFill="1" applyBorder="1"/>
    <xf numFmtId="165" fontId="7" fillId="16" borderId="5" xfId="1" applyNumberFormat="1" applyFont="1" applyFill="1" applyBorder="1"/>
    <xf numFmtId="0" fontId="9" fillId="6" borderId="0" xfId="0" applyFont="1" applyFill="1" applyBorder="1"/>
    <xf numFmtId="0" fontId="10" fillId="6" borderId="18" xfId="0" applyFont="1" applyFill="1" applyBorder="1" applyAlignment="1">
      <alignment horizontal="center" wrapText="1"/>
    </xf>
    <xf numFmtId="167" fontId="9" fillId="5" borderId="18" xfId="2" applyNumberFormat="1" applyFont="1" applyFill="1" applyBorder="1" applyAlignment="1">
      <alignment horizontal="left"/>
    </xf>
    <xf numFmtId="0" fontId="24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1" xfId="0" applyFont="1" applyFill="1" applyBorder="1" applyAlignment="1">
      <alignment horizontal="center"/>
    </xf>
    <xf numFmtId="0" fontId="15" fillId="17" borderId="22" xfId="0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0" fontId="16" fillId="14" borderId="25" xfId="0" applyFont="1" applyFill="1" applyBorder="1" applyAlignment="1">
      <alignment horizontal="center" vertical="center"/>
    </xf>
    <xf numFmtId="0" fontId="16" fillId="14" borderId="26" xfId="0" applyFont="1" applyFill="1" applyBorder="1" applyAlignment="1">
      <alignment horizontal="center" vertical="center"/>
    </xf>
    <xf numFmtId="165" fontId="7" fillId="9" borderId="5" xfId="1" applyNumberFormat="1" applyFont="1" applyFill="1" applyBorder="1"/>
    <xf numFmtId="0" fontId="15" fillId="17" borderId="27" xfId="0" applyFont="1" applyFill="1" applyBorder="1" applyAlignment="1">
      <alignment horizontal="center"/>
    </xf>
    <xf numFmtId="0" fontId="16" fillId="14" borderId="28" xfId="0" applyFont="1" applyFill="1" applyBorder="1" applyAlignment="1">
      <alignment horizontal="center" vertical="center"/>
    </xf>
    <xf numFmtId="0" fontId="15" fillId="17" borderId="29" xfId="0" applyFont="1" applyFill="1" applyBorder="1" applyAlignment="1">
      <alignment horizontal="center"/>
    </xf>
    <xf numFmtId="0" fontId="9" fillId="14" borderId="30" xfId="0" applyFont="1" applyFill="1" applyBorder="1" applyAlignment="1">
      <alignment horizontal="center" vertical="center"/>
    </xf>
    <xf numFmtId="0" fontId="9" fillId="16" borderId="31" xfId="0" applyFont="1" applyFill="1" applyBorder="1"/>
    <xf numFmtId="165" fontId="7" fillId="2" borderId="32" xfId="1" applyNumberFormat="1" applyFont="1" applyFill="1" applyBorder="1"/>
    <xf numFmtId="165" fontId="7" fillId="9" borderId="32" xfId="1" applyNumberFormat="1" applyFont="1" applyFill="1" applyBorder="1"/>
    <xf numFmtId="165" fontId="8" fillId="15" borderId="33" xfId="0" applyNumberFormat="1" applyFont="1" applyFill="1" applyBorder="1"/>
    <xf numFmtId="0" fontId="6" fillId="3" borderId="33" xfId="0" applyFont="1" applyFill="1" applyBorder="1" applyAlignment="1">
      <alignment horizontal="right"/>
    </xf>
    <xf numFmtId="0" fontId="23" fillId="10" borderId="0" xfId="0" applyFont="1" applyFill="1" applyBorder="1" applyAlignment="1">
      <alignment horizontal="center" vertical="top"/>
    </xf>
    <xf numFmtId="171" fontId="0" fillId="0" borderId="0" xfId="4" applyNumberFormat="1" applyFont="1"/>
    <xf numFmtId="43" fontId="0" fillId="0" borderId="0" xfId="2" applyNumberFormat="1" applyFont="1"/>
    <xf numFmtId="165" fontId="6" fillId="12" borderId="4" xfId="1" applyNumberFormat="1" applyFont="1" applyFill="1" applyBorder="1"/>
    <xf numFmtId="165" fontId="6" fillId="12" borderId="17" xfId="1" applyNumberFormat="1" applyFont="1" applyFill="1" applyBorder="1"/>
    <xf numFmtId="165" fontId="7" fillId="16" borderId="23" xfId="1" applyNumberFormat="1" applyFont="1" applyFill="1" applyBorder="1"/>
    <xf numFmtId="165" fontId="7" fillId="16" borderId="24" xfId="1" applyNumberFormat="1" applyFont="1" applyFill="1" applyBorder="1"/>
    <xf numFmtId="43" fontId="9" fillId="6" borderId="2" xfId="2" applyFont="1" applyFill="1" applyBorder="1" applyAlignment="1" applyProtection="1">
      <alignment horizontal="left"/>
      <protection locked="0"/>
    </xf>
    <xf numFmtId="0" fontId="0" fillId="6" borderId="6" xfId="0" applyFill="1" applyBorder="1"/>
    <xf numFmtId="165" fontId="6" fillId="12" borderId="34" xfId="1" applyNumberFormat="1" applyFont="1" applyFill="1" applyBorder="1"/>
    <xf numFmtId="0" fontId="20" fillId="13" borderId="13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Border="1"/>
    <xf numFmtId="0" fontId="7" fillId="6" borderId="2" xfId="0" applyFont="1" applyFill="1" applyBorder="1"/>
    <xf numFmtId="0" fontId="0" fillId="6" borderId="2" xfId="0" applyFill="1" applyBorder="1"/>
    <xf numFmtId="165" fontId="7" fillId="6" borderId="2" xfId="1" applyNumberFormat="1" applyFont="1" applyFill="1" applyBorder="1"/>
    <xf numFmtId="0" fontId="2" fillId="6" borderId="0" xfId="0" applyFont="1" applyFill="1"/>
    <xf numFmtId="170" fontId="9" fillId="6" borderId="2" xfId="1" applyNumberFormat="1" applyFont="1" applyFill="1" applyBorder="1"/>
    <xf numFmtId="0" fontId="2" fillId="6" borderId="35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7" xfId="0" applyFill="1" applyBorder="1"/>
    <xf numFmtId="3" fontId="6" fillId="6" borderId="2" xfId="4" applyNumberFormat="1" applyFont="1" applyFill="1" applyBorder="1"/>
    <xf numFmtId="167" fontId="0" fillId="6" borderId="0" xfId="0" applyNumberFormat="1" applyFill="1" applyBorder="1"/>
    <xf numFmtId="0" fontId="0" fillId="6" borderId="0" xfId="0" applyFont="1" applyFill="1" applyBorder="1" applyAlignment="1">
      <alignment horizontal="right"/>
    </xf>
    <xf numFmtId="170" fontId="0" fillId="6" borderId="0" xfId="0" applyNumberFormat="1" applyFill="1" applyBorder="1"/>
    <xf numFmtId="170" fontId="17" fillId="6" borderId="0" xfId="0" applyNumberFormat="1" applyFont="1" applyFill="1" applyBorder="1" applyAlignment="1">
      <alignment horizontal="right"/>
    </xf>
    <xf numFmtId="0" fontId="0" fillId="6" borderId="9" xfId="0" applyFill="1" applyBorder="1"/>
    <xf numFmtId="0" fontId="0" fillId="6" borderId="10" xfId="0" applyFill="1" applyBorder="1"/>
    <xf numFmtId="0" fontId="0" fillId="6" borderId="8" xfId="0" applyFill="1" applyBorder="1"/>
    <xf numFmtId="165" fontId="7" fillId="8" borderId="38" xfId="1" applyNumberFormat="1" applyFont="1" applyFill="1" applyBorder="1"/>
    <xf numFmtId="165" fontId="8" fillId="15" borderId="3" xfId="0" applyNumberFormat="1" applyFont="1" applyFill="1" applyBorder="1"/>
    <xf numFmtId="9" fontId="9" fillId="5" borderId="2" xfId="4" applyFont="1" applyFill="1" applyBorder="1" applyAlignment="1">
      <alignment horizontal="right"/>
    </xf>
    <xf numFmtId="0" fontId="2" fillId="11" borderId="2" xfId="0" applyFont="1" applyFill="1" applyBorder="1" applyProtection="1">
      <protection locked="0"/>
    </xf>
    <xf numFmtId="0" fontId="2" fillId="6" borderId="0" xfId="0" applyFont="1" applyFill="1" applyBorder="1"/>
    <xf numFmtId="0" fontId="10" fillId="12" borderId="2" xfId="0" applyFont="1" applyFill="1" applyBorder="1" applyAlignment="1">
      <alignment horizontal="center" wrapText="1"/>
    </xf>
    <xf numFmtId="43" fontId="9" fillId="12" borderId="2" xfId="2" applyFont="1" applyFill="1" applyBorder="1" applyAlignment="1" applyProtection="1">
      <alignment horizontal="left"/>
      <protection locked="0"/>
    </xf>
    <xf numFmtId="0" fontId="9" fillId="16" borderId="39" xfId="0" applyFont="1" applyFill="1" applyBorder="1"/>
    <xf numFmtId="0" fontId="9" fillId="16" borderId="32" xfId="0" applyFont="1" applyFill="1" applyBorder="1"/>
    <xf numFmtId="0" fontId="9" fillId="16" borderId="40" xfId="0" applyFont="1" applyFill="1" applyBorder="1"/>
    <xf numFmtId="165" fontId="7" fillId="16" borderId="18" xfId="1" applyNumberFormat="1" applyFont="1" applyFill="1" applyBorder="1"/>
    <xf numFmtId="165" fontId="7" fillId="16" borderId="41" xfId="1" applyNumberFormat="1" applyFont="1" applyFill="1" applyBorder="1"/>
    <xf numFmtId="0" fontId="6" fillId="16" borderId="42" xfId="0" applyFont="1" applyFill="1" applyBorder="1"/>
    <xf numFmtId="165" fontId="10" fillId="16" borderId="20" xfId="1" applyNumberFormat="1" applyFont="1" applyFill="1" applyBorder="1"/>
    <xf numFmtId="165" fontId="10" fillId="16" borderId="21" xfId="1" applyNumberFormat="1" applyFont="1" applyFill="1" applyBorder="1"/>
    <xf numFmtId="165" fontId="10" fillId="16" borderId="22" xfId="1" applyNumberFormat="1" applyFont="1" applyFill="1" applyBorder="1"/>
    <xf numFmtId="0" fontId="9" fillId="2" borderId="33" xfId="0" applyFont="1" applyFill="1" applyBorder="1"/>
    <xf numFmtId="165" fontId="7" fillId="2" borderId="4" xfId="1" applyNumberFormat="1" applyFont="1" applyFill="1" applyBorder="1"/>
    <xf numFmtId="165" fontId="7" fillId="2" borderId="17" xfId="1" applyNumberFormat="1" applyFont="1" applyFill="1" applyBorder="1"/>
    <xf numFmtId="165" fontId="7" fillId="16" borderId="39" xfId="0" applyNumberFormat="1" applyFont="1" applyFill="1" applyBorder="1"/>
    <xf numFmtId="165" fontId="7" fillId="16" borderId="23" xfId="0" applyNumberFormat="1" applyFont="1" applyFill="1" applyBorder="1"/>
    <xf numFmtId="43" fontId="7" fillId="16" borderId="23" xfId="2" applyFont="1" applyFill="1" applyBorder="1"/>
    <xf numFmtId="43" fontId="7" fillId="16" borderId="24" xfId="2" applyFont="1" applyFill="1" applyBorder="1"/>
    <xf numFmtId="0" fontId="65" fillId="6" borderId="0" xfId="3" applyFill="1"/>
    <xf numFmtId="0" fontId="35" fillId="6" borderId="0" xfId="3" applyFont="1" applyFill="1" applyBorder="1" applyAlignment="1" applyProtection="1">
      <alignment vertical="center"/>
    </xf>
    <xf numFmtId="0" fontId="65" fillId="6" borderId="0" xfId="3" applyFill="1" applyBorder="1"/>
    <xf numFmtId="0" fontId="65" fillId="0" borderId="0" xfId="3"/>
    <xf numFmtId="0" fontId="38" fillId="0" borderId="2" xfId="3" applyFont="1" applyBorder="1" applyAlignment="1">
      <alignment horizontal="center"/>
    </xf>
    <xf numFmtId="172" fontId="65" fillId="6" borderId="0" xfId="3" applyNumberFormat="1" applyFill="1"/>
    <xf numFmtId="173" fontId="65" fillId="6" borderId="0" xfId="3" applyNumberFormat="1" applyFill="1"/>
    <xf numFmtId="0" fontId="40" fillId="6" borderId="0" xfId="3" applyFont="1" applyFill="1" applyAlignment="1">
      <alignment wrapText="1"/>
    </xf>
    <xf numFmtId="174" fontId="65" fillId="6" borderId="0" xfId="3" applyNumberFormat="1" applyFill="1"/>
    <xf numFmtId="0" fontId="65" fillId="6" borderId="0" xfId="3" applyFill="1" applyBorder="1" applyAlignment="1">
      <alignment horizontal="left" vertical="center" wrapText="1"/>
    </xf>
    <xf numFmtId="0" fontId="65" fillId="6" borderId="0" xfId="3" applyFill="1" applyAlignment="1">
      <alignment horizontal="center"/>
    </xf>
    <xf numFmtId="0" fontId="65" fillId="16" borderId="43" xfId="3" applyFill="1" applyBorder="1" applyAlignment="1">
      <alignment horizontal="left" vertical="center" wrapText="1"/>
    </xf>
    <xf numFmtId="0" fontId="65" fillId="16" borderId="44" xfId="3" applyFill="1" applyBorder="1" applyAlignment="1">
      <alignment horizontal="center"/>
    </xf>
    <xf numFmtId="0" fontId="65" fillId="16" borderId="45" xfId="3" applyFill="1" applyBorder="1" applyAlignment="1">
      <alignment horizontal="center"/>
    </xf>
    <xf numFmtId="0" fontId="65" fillId="6" borderId="0" xfId="3" applyFill="1" applyBorder="1" applyAlignment="1">
      <alignment horizontal="center"/>
    </xf>
    <xf numFmtId="0" fontId="65" fillId="0" borderId="0" xfId="3" applyFill="1"/>
    <xf numFmtId="0" fontId="65" fillId="0" borderId="2" xfId="3" applyFill="1" applyBorder="1" applyAlignment="1">
      <alignment horizontal="center" vertical="center"/>
    </xf>
    <xf numFmtId="0" fontId="65" fillId="0" borderId="2" xfId="3" applyBorder="1" applyAlignment="1">
      <alignment horizontal="center" vertical="center"/>
    </xf>
    <xf numFmtId="0" fontId="65" fillId="0" borderId="2" xfId="3" applyFill="1" applyBorder="1" applyAlignment="1">
      <alignment horizontal="center"/>
    </xf>
    <xf numFmtId="0" fontId="44" fillId="6" borderId="0" xfId="3" applyFont="1" applyFill="1"/>
    <xf numFmtId="0" fontId="45" fillId="0" borderId="2" xfId="3" applyFont="1" applyBorder="1" applyAlignment="1">
      <alignment horizontal="center" wrapText="1"/>
    </xf>
    <xf numFmtId="0" fontId="38" fillId="0" borderId="2" xfId="3" applyFont="1" applyBorder="1"/>
    <xf numFmtId="0" fontId="46" fillId="0" borderId="2" xfId="3" applyFont="1" applyBorder="1" applyAlignment="1">
      <alignment horizontal="center"/>
    </xf>
    <xf numFmtId="0" fontId="47" fillId="6" borderId="0" xfId="3" applyFont="1" applyFill="1"/>
    <xf numFmtId="0" fontId="48" fillId="6" borderId="0" xfId="3" applyFont="1" applyFill="1"/>
    <xf numFmtId="0" fontId="49" fillId="6" borderId="0" xfId="3" applyFont="1" applyFill="1"/>
    <xf numFmtId="0" fontId="34" fillId="6" borderId="0" xfId="3" applyFont="1" applyFill="1"/>
    <xf numFmtId="4" fontId="65" fillId="6" borderId="0" xfId="3" applyNumberFormat="1" applyFill="1"/>
    <xf numFmtId="0" fontId="48" fillId="6" borderId="0" xfId="3" applyFont="1" applyFill="1" applyBorder="1" applyAlignment="1">
      <alignment horizontal="center"/>
    </xf>
    <xf numFmtId="0" fontId="50" fillId="6" borderId="0" xfId="3" applyFont="1" applyFill="1" applyBorder="1" applyProtection="1"/>
    <xf numFmtId="0" fontId="50" fillId="0" borderId="0" xfId="3" applyFont="1" applyBorder="1" applyProtection="1"/>
    <xf numFmtId="0" fontId="51" fillId="16" borderId="2" xfId="3" applyFont="1" applyFill="1" applyBorder="1" applyAlignment="1">
      <alignment horizontal="center" vertical="center" wrapText="1"/>
    </xf>
    <xf numFmtId="0" fontId="51" fillId="16" borderId="2" xfId="3" applyFont="1" applyFill="1" applyBorder="1" applyAlignment="1">
      <alignment vertical="top" wrapText="1"/>
    </xf>
    <xf numFmtId="0" fontId="53" fillId="16" borderId="2" xfId="3" applyFont="1" applyFill="1" applyBorder="1" applyAlignment="1">
      <alignment horizontal="center" wrapText="1"/>
    </xf>
    <xf numFmtId="3" fontId="53" fillId="6" borderId="2" xfId="3" applyNumberFormat="1" applyFont="1" applyFill="1" applyBorder="1" applyAlignment="1" applyProtection="1">
      <alignment horizontal="center" wrapText="1"/>
      <protection locked="0"/>
    </xf>
    <xf numFmtId="3" fontId="53" fillId="16" borderId="2" xfId="3" applyNumberFormat="1" applyFont="1" applyFill="1" applyBorder="1" applyAlignment="1">
      <alignment horizontal="center" wrapText="1"/>
    </xf>
    <xf numFmtId="0" fontId="53" fillId="16" borderId="2" xfId="3" applyFont="1" applyFill="1" applyBorder="1" applyAlignment="1">
      <alignment vertical="top" wrapText="1"/>
    </xf>
    <xf numFmtId="0" fontId="56" fillId="6" borderId="0" xfId="3" applyFont="1" applyFill="1" applyBorder="1" applyProtection="1"/>
    <xf numFmtId="0" fontId="57" fillId="16" borderId="2" xfId="3" applyFont="1" applyFill="1" applyBorder="1" applyAlignment="1">
      <alignment horizontal="center" vertical="top" wrapText="1"/>
    </xf>
    <xf numFmtId="3" fontId="53" fillId="6" borderId="2" xfId="3" applyNumberFormat="1" applyFont="1" applyFill="1" applyBorder="1" applyAlignment="1" applyProtection="1">
      <alignment wrapText="1"/>
      <protection locked="0"/>
    </xf>
    <xf numFmtId="0" fontId="51" fillId="16" borderId="2" xfId="3" applyFont="1" applyFill="1" applyBorder="1" applyAlignment="1" applyProtection="1">
      <alignment vertical="top" wrapText="1"/>
    </xf>
    <xf numFmtId="0" fontId="53" fillId="16" borderId="2" xfId="3" applyFont="1" applyFill="1" applyBorder="1" applyAlignment="1" applyProtection="1">
      <alignment horizontal="center" wrapText="1"/>
    </xf>
    <xf numFmtId="3" fontId="53" fillId="16" borderId="2" xfId="3" applyNumberFormat="1" applyFont="1" applyFill="1" applyBorder="1" applyAlignment="1" applyProtection="1">
      <alignment horizontal="center" wrapText="1"/>
    </xf>
    <xf numFmtId="0" fontId="51" fillId="16" borderId="2" xfId="3" applyFont="1" applyFill="1" applyBorder="1" applyAlignment="1" applyProtection="1">
      <alignment horizontal="center" vertical="center" wrapText="1"/>
    </xf>
    <xf numFmtId="3" fontId="51" fillId="16" borderId="2" xfId="3" applyNumberFormat="1" applyFont="1" applyFill="1" applyBorder="1" applyAlignment="1" applyProtection="1">
      <alignment horizontal="center" wrapText="1"/>
    </xf>
    <xf numFmtId="4" fontId="51" fillId="16" borderId="2" xfId="3" applyNumberFormat="1" applyFont="1" applyFill="1" applyBorder="1" applyAlignment="1" applyProtection="1">
      <alignment horizontal="center" wrapText="1"/>
    </xf>
    <xf numFmtId="0" fontId="58" fillId="6" borderId="0" xfId="3" applyFont="1" applyFill="1" applyBorder="1" applyProtection="1"/>
    <xf numFmtId="0" fontId="0" fillId="6" borderId="0" xfId="0" applyFont="1" applyFill="1"/>
    <xf numFmtId="0" fontId="44" fillId="0" borderId="2" xfId="3" applyFont="1" applyFill="1" applyBorder="1" applyAlignment="1">
      <alignment horizontal="center"/>
    </xf>
    <xf numFmtId="164" fontId="0" fillId="6" borderId="0" xfId="0" applyNumberFormat="1" applyFill="1"/>
    <xf numFmtId="43" fontId="61" fillId="0" borderId="2" xfId="2" applyFont="1" applyBorder="1" applyAlignment="1" applyProtection="1">
      <alignment horizontal="center"/>
      <protection locked="0"/>
    </xf>
    <xf numFmtId="0" fontId="38" fillId="16" borderId="2" xfId="3" applyFont="1" applyFill="1" applyBorder="1" applyAlignment="1">
      <alignment horizontal="center"/>
    </xf>
    <xf numFmtId="165" fontId="6" fillId="12" borderId="46" xfId="1" applyNumberFormat="1" applyFont="1" applyFill="1" applyBorder="1"/>
    <xf numFmtId="165" fontId="6" fillId="12" borderId="47" xfId="1" applyNumberFormat="1" applyFont="1" applyFill="1" applyBorder="1"/>
    <xf numFmtId="165" fontId="6" fillId="12" borderId="48" xfId="1" applyNumberFormat="1" applyFont="1" applyFill="1" applyBorder="1"/>
    <xf numFmtId="0" fontId="39" fillId="0" borderId="49" xfId="3" applyFont="1" applyBorder="1" applyAlignment="1" applyProtection="1">
      <alignment horizontal="center" vertical="center"/>
      <protection locked="0"/>
    </xf>
    <xf numFmtId="0" fontId="38" fillId="0" borderId="2" xfId="3" applyFont="1" applyBorder="1" applyAlignment="1" applyProtection="1">
      <alignment horizontal="center"/>
      <protection locked="0"/>
    </xf>
    <xf numFmtId="0" fontId="38" fillId="0" borderId="2" xfId="3" applyFont="1" applyFill="1" applyBorder="1" applyAlignment="1" applyProtection="1">
      <alignment horizontal="center"/>
      <protection locked="0"/>
    </xf>
    <xf numFmtId="0" fontId="38" fillId="0" borderId="2" xfId="3" applyFont="1" applyBorder="1" applyAlignment="1" applyProtection="1">
      <alignment vertical="center" wrapText="1"/>
      <protection locked="0"/>
    </xf>
    <xf numFmtId="0" fontId="41" fillId="18" borderId="2" xfId="3" applyFont="1" applyFill="1" applyBorder="1" applyAlignment="1" applyProtection="1">
      <alignment horizontal="center"/>
      <protection locked="0"/>
    </xf>
    <xf numFmtId="43" fontId="2" fillId="6" borderId="0" xfId="2" applyFont="1" applyFill="1" applyBorder="1" applyAlignment="1" applyProtection="1">
      <alignment horizontal="left"/>
      <protection locked="0"/>
    </xf>
    <xf numFmtId="0" fontId="34" fillId="6" borderId="0" xfId="3" applyFont="1" applyFill="1" applyBorder="1"/>
    <xf numFmtId="172" fontId="0" fillId="6" borderId="2" xfId="0" applyNumberFormat="1" applyFill="1" applyBorder="1"/>
    <xf numFmtId="172" fontId="60" fillId="6" borderId="2" xfId="0" applyNumberFormat="1" applyFont="1" applyFill="1" applyBorder="1"/>
    <xf numFmtId="0" fontId="34" fillId="6" borderId="49" xfId="3" applyFont="1" applyFill="1" applyBorder="1" applyAlignment="1">
      <alignment horizontal="center"/>
    </xf>
    <xf numFmtId="165" fontId="6" fillId="12" borderId="25" xfId="1" applyNumberFormat="1" applyFont="1" applyFill="1" applyBorder="1"/>
    <xf numFmtId="165" fontId="6" fillId="12" borderId="26" xfId="1" applyNumberFormat="1" applyFont="1" applyFill="1" applyBorder="1"/>
    <xf numFmtId="0" fontId="50" fillId="6" borderId="0" xfId="3" applyFont="1" applyFill="1" applyBorder="1" applyProtection="1"/>
    <xf numFmtId="0" fontId="65" fillId="6" borderId="50" xfId="3" applyFill="1" applyBorder="1"/>
    <xf numFmtId="0" fontId="2" fillId="21" borderId="0" xfId="0" applyFont="1" applyFill="1"/>
    <xf numFmtId="0" fontId="0" fillId="21" borderId="0" xfId="0" applyFill="1"/>
    <xf numFmtId="43" fontId="0" fillId="21" borderId="0" xfId="0" applyNumberFormat="1" applyFill="1"/>
    <xf numFmtId="165" fontId="0" fillId="21" borderId="0" xfId="0" applyNumberFormat="1" applyFill="1"/>
    <xf numFmtId="0" fontId="67" fillId="21" borderId="0" xfId="0" applyFont="1" applyFill="1"/>
    <xf numFmtId="0" fontId="69" fillId="21" borderId="0" xfId="0" applyFont="1" applyFill="1"/>
    <xf numFmtId="0" fontId="4" fillId="21" borderId="0" xfId="0" applyFont="1" applyFill="1"/>
    <xf numFmtId="0" fontId="70" fillId="21" borderId="0" xfId="0" applyFont="1" applyFill="1"/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68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horizontal="left" vertical="center"/>
    </xf>
    <xf numFmtId="0" fontId="66" fillId="21" borderId="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left"/>
    </xf>
    <xf numFmtId="0" fontId="9" fillId="6" borderId="49" xfId="0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60" fillId="0" borderId="2" xfId="0" applyFont="1" applyBorder="1" applyAlignment="1">
      <alignment horizontal="left"/>
    </xf>
    <xf numFmtId="0" fontId="6" fillId="6" borderId="16" xfId="0" applyFont="1" applyFill="1" applyBorder="1" applyAlignment="1">
      <alignment horizontal="left" wrapText="1"/>
    </xf>
    <xf numFmtId="0" fontId="6" fillId="6" borderId="49" xfId="0" applyFont="1" applyFill="1" applyBorder="1" applyAlignment="1">
      <alignment horizontal="left" wrapText="1"/>
    </xf>
    <xf numFmtId="0" fontId="13" fillId="10" borderId="35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13" fillId="10" borderId="36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2" fillId="11" borderId="13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8" fillId="10" borderId="0" xfId="0" applyFont="1" applyFill="1" applyBorder="1" applyAlignment="1">
      <alignment horizontal="center" vertical="center"/>
    </xf>
    <xf numFmtId="0" fontId="28" fillId="6" borderId="15" xfId="0" applyFont="1" applyFill="1" applyBorder="1" applyAlignment="1" applyProtection="1">
      <alignment horizontal="left" vertical="top"/>
      <protection locked="0"/>
    </xf>
    <xf numFmtId="0" fontId="28" fillId="6" borderId="0" xfId="0" applyFont="1" applyFill="1" applyBorder="1" applyAlignment="1" applyProtection="1">
      <alignment horizontal="left" vertical="top"/>
      <protection locked="0"/>
    </xf>
    <xf numFmtId="0" fontId="30" fillId="19" borderId="0" xfId="0" applyFont="1" applyFill="1" applyBorder="1" applyAlignment="1">
      <alignment horizontal="center" vertical="center" wrapText="1"/>
    </xf>
    <xf numFmtId="0" fontId="9" fillId="12" borderId="56" xfId="0" applyFont="1" applyFill="1" applyBorder="1" applyAlignment="1">
      <alignment horizontal="left" wrapText="1"/>
    </xf>
    <xf numFmtId="0" fontId="9" fillId="12" borderId="49" xfId="0" applyFont="1" applyFill="1" applyBorder="1" applyAlignment="1">
      <alignment horizontal="left" wrapText="1"/>
    </xf>
    <xf numFmtId="0" fontId="24" fillId="6" borderId="0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center" vertical="top" wrapText="1"/>
    </xf>
    <xf numFmtId="0" fontId="14" fillId="11" borderId="46" xfId="0" applyFont="1" applyFill="1" applyBorder="1" applyAlignment="1">
      <alignment horizontal="center" vertical="top" wrapText="1"/>
    </xf>
    <xf numFmtId="0" fontId="14" fillId="11" borderId="55" xfId="0" applyFont="1" applyFill="1" applyBorder="1" applyAlignment="1">
      <alignment horizontal="center" vertical="top" wrapText="1"/>
    </xf>
    <xf numFmtId="0" fontId="14" fillId="11" borderId="51" xfId="0" applyFont="1" applyFill="1" applyBorder="1" applyAlignment="1">
      <alignment horizontal="center" vertical="top" wrapText="1"/>
    </xf>
    <xf numFmtId="0" fontId="27" fillId="11" borderId="52" xfId="0" applyFont="1" applyFill="1" applyBorder="1" applyAlignment="1">
      <alignment horizontal="center" vertical="top" wrapText="1"/>
    </xf>
    <xf numFmtId="0" fontId="27" fillId="11" borderId="15" xfId="0" applyFont="1" applyFill="1" applyBorder="1" applyAlignment="1">
      <alignment horizontal="center" vertical="top"/>
    </xf>
    <xf numFmtId="0" fontId="27" fillId="11" borderId="53" xfId="0" applyFont="1" applyFill="1" applyBorder="1" applyAlignment="1">
      <alignment horizontal="center" vertical="top"/>
    </xf>
    <xf numFmtId="0" fontId="14" fillId="11" borderId="57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/>
    </xf>
    <xf numFmtId="0" fontId="6" fillId="12" borderId="43" xfId="0" applyFont="1" applyFill="1" applyBorder="1" applyAlignment="1">
      <alignment horizontal="left" wrapText="1"/>
    </xf>
    <xf numFmtId="0" fontId="6" fillId="12" borderId="45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12" borderId="9" xfId="0" applyFont="1" applyFill="1" applyBorder="1" applyAlignment="1">
      <alignment horizontal="left" wrapText="1"/>
    </xf>
    <xf numFmtId="0" fontId="6" fillId="12" borderId="8" xfId="0" applyFont="1" applyFill="1" applyBorder="1" applyAlignment="1">
      <alignment horizontal="left" wrapText="1"/>
    </xf>
    <xf numFmtId="0" fontId="6" fillId="12" borderId="44" xfId="0" applyFont="1" applyFill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9" fillId="0" borderId="3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3" fontId="9" fillId="12" borderId="16" xfId="2" applyFont="1" applyFill="1" applyBorder="1" applyAlignment="1" applyProtection="1">
      <alignment horizontal="left" vertical="center" wrapText="1"/>
      <protection locked="0"/>
    </xf>
    <xf numFmtId="43" fontId="9" fillId="12" borderId="58" xfId="2" applyFont="1" applyFill="1" applyBorder="1" applyAlignment="1" applyProtection="1">
      <alignment horizontal="left" vertical="center" wrapText="1"/>
      <protection locked="0"/>
    </xf>
    <xf numFmtId="43" fontId="9" fillId="12" borderId="49" xfId="2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wrapText="1"/>
    </xf>
    <xf numFmtId="0" fontId="8" fillId="21" borderId="0" xfId="0" applyFont="1" applyFill="1" applyBorder="1" applyAlignment="1">
      <alignment horizontal="center" vertical="center"/>
    </xf>
    <xf numFmtId="0" fontId="23" fillId="10" borderId="54" xfId="0" applyFont="1" applyFill="1" applyBorder="1" applyAlignment="1">
      <alignment horizontal="right" vertical="center"/>
    </xf>
    <xf numFmtId="0" fontId="23" fillId="10" borderId="55" xfId="0" applyFont="1" applyFill="1" applyBorder="1" applyAlignment="1">
      <alignment horizontal="right" vertical="center"/>
    </xf>
    <xf numFmtId="0" fontId="20" fillId="11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47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48" fillId="0" borderId="2" xfId="3" applyFont="1" applyFill="1" applyBorder="1" applyAlignment="1">
      <alignment horizontal="center"/>
    </xf>
    <xf numFmtId="0" fontId="65" fillId="0" borderId="2" xfId="3" applyBorder="1" applyAlignment="1">
      <alignment horizontal="left"/>
    </xf>
    <xf numFmtId="0" fontId="65" fillId="0" borderId="2" xfId="3" applyFill="1" applyBorder="1" applyAlignment="1">
      <alignment horizontal="left" vertical="center" wrapText="1"/>
    </xf>
    <xf numFmtId="0" fontId="42" fillId="16" borderId="2" xfId="3" applyFont="1" applyFill="1" applyBorder="1" applyAlignment="1">
      <alignment horizontal="center" vertical="center" wrapText="1"/>
    </xf>
    <xf numFmtId="0" fontId="65" fillId="0" borderId="2" xfId="3" applyFill="1" applyBorder="1" applyAlignment="1">
      <alignment horizontal="left"/>
    </xf>
    <xf numFmtId="0" fontId="43" fillId="20" borderId="53" xfId="3" applyFont="1" applyFill="1" applyBorder="1" applyAlignment="1" applyProtection="1">
      <alignment horizontal="center" vertical="center"/>
    </xf>
    <xf numFmtId="0" fontId="43" fillId="20" borderId="55" xfId="3" applyFont="1" applyFill="1" applyBorder="1" applyAlignment="1" applyProtection="1">
      <alignment horizontal="center" vertical="center"/>
    </xf>
    <xf numFmtId="0" fontId="43" fillId="20" borderId="51" xfId="3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>
      <alignment horizontal="left" vertical="top" wrapText="1"/>
    </xf>
    <xf numFmtId="0" fontId="65" fillId="0" borderId="49" xfId="3" applyFill="1" applyBorder="1" applyAlignment="1">
      <alignment horizontal="left" vertical="top" wrapText="1"/>
    </xf>
    <xf numFmtId="0" fontId="45" fillId="0" borderId="2" xfId="3" applyFont="1" applyBorder="1" applyAlignment="1">
      <alignment horizontal="center"/>
    </xf>
    <xf numFmtId="0" fontId="48" fillId="6" borderId="16" xfId="3" applyFont="1" applyFill="1" applyBorder="1" applyAlignment="1">
      <alignment horizontal="center"/>
    </xf>
    <xf numFmtId="0" fontId="48" fillId="6" borderId="49" xfId="3" applyFont="1" applyFill="1" applyBorder="1" applyAlignment="1">
      <alignment horizontal="center"/>
    </xf>
    <xf numFmtId="0" fontId="38" fillId="0" borderId="16" xfId="3" applyFont="1" applyBorder="1" applyAlignment="1">
      <alignment horizontal="left"/>
    </xf>
    <xf numFmtId="0" fontId="38" fillId="0" borderId="49" xfId="3" applyFont="1" applyBorder="1" applyAlignment="1">
      <alignment horizontal="left"/>
    </xf>
    <xf numFmtId="0" fontId="41" fillId="4" borderId="16" xfId="3" applyFont="1" applyFill="1" applyBorder="1" applyAlignment="1">
      <alignment horizontal="center" vertical="center" wrapText="1"/>
    </xf>
    <xf numFmtId="0" fontId="41" fillId="4" borderId="58" xfId="3" applyFont="1" applyFill="1" applyBorder="1" applyAlignment="1">
      <alignment horizontal="center" vertical="center" wrapText="1"/>
    </xf>
    <xf numFmtId="0" fontId="41" fillId="4" borderId="49" xfId="3" applyFont="1" applyFill="1" applyBorder="1" applyAlignment="1">
      <alignment horizontal="center" vertical="center" wrapText="1"/>
    </xf>
    <xf numFmtId="0" fontId="63" fillId="6" borderId="15" xfId="3" applyFont="1" applyFill="1" applyBorder="1" applyAlignment="1">
      <alignment horizontal="center" wrapText="1"/>
    </xf>
    <xf numFmtId="0" fontId="38" fillId="0" borderId="2" xfId="3" applyFont="1" applyBorder="1" applyAlignment="1">
      <alignment horizontal="left" vertical="center" wrapText="1"/>
    </xf>
    <xf numFmtId="0" fontId="38" fillId="0" borderId="2" xfId="3" applyFont="1" applyBorder="1" applyAlignment="1">
      <alignment horizontal="left"/>
    </xf>
    <xf numFmtId="0" fontId="38" fillId="0" borderId="16" xfId="3" applyFont="1" applyFill="1" applyBorder="1" applyAlignment="1">
      <alignment horizontal="left"/>
    </xf>
    <xf numFmtId="0" fontId="38" fillId="0" borderId="49" xfId="3" applyFont="1" applyFill="1" applyBorder="1" applyAlignment="1">
      <alignment horizontal="left"/>
    </xf>
    <xf numFmtId="0" fontId="35" fillId="20" borderId="52" xfId="3" applyFont="1" applyFill="1" applyBorder="1" applyAlignment="1" applyProtection="1">
      <alignment horizontal="center" vertical="center"/>
    </xf>
    <xf numFmtId="0" fontId="35" fillId="20" borderId="57" xfId="3" applyFont="1" applyFill="1" applyBorder="1" applyAlignment="1" applyProtection="1">
      <alignment horizontal="center" vertical="center"/>
    </xf>
    <xf numFmtId="0" fontId="35" fillId="20" borderId="50" xfId="3" applyFont="1" applyFill="1" applyBorder="1" applyAlignment="1" applyProtection="1">
      <alignment horizontal="center" vertical="center"/>
    </xf>
    <xf numFmtId="0" fontId="36" fillId="20" borderId="53" xfId="3" applyFont="1" applyFill="1" applyBorder="1" applyAlignment="1" applyProtection="1">
      <alignment horizontal="center" vertical="center"/>
    </xf>
    <xf numFmtId="0" fontId="35" fillId="20" borderId="55" xfId="3" applyFont="1" applyFill="1" applyBorder="1" applyAlignment="1" applyProtection="1">
      <alignment horizontal="center" vertical="center"/>
    </xf>
    <xf numFmtId="0" fontId="35" fillId="20" borderId="51" xfId="3" applyFont="1" applyFill="1" applyBorder="1" applyAlignment="1" applyProtection="1">
      <alignment horizontal="center" vertical="center"/>
    </xf>
    <xf numFmtId="0" fontId="37" fillId="0" borderId="16" xfId="3" applyFont="1" applyBorder="1" applyAlignment="1">
      <alignment horizontal="center" vertical="center"/>
    </xf>
    <xf numFmtId="0" fontId="37" fillId="0" borderId="58" xfId="3" applyFont="1" applyBorder="1" applyAlignment="1">
      <alignment horizontal="center" vertical="center"/>
    </xf>
    <xf numFmtId="0" fontId="37" fillId="0" borderId="49" xfId="3" applyFont="1" applyBorder="1" applyAlignment="1">
      <alignment horizontal="center" vertical="center"/>
    </xf>
    <xf numFmtId="0" fontId="38" fillId="16" borderId="2" xfId="3" applyFont="1" applyFill="1" applyBorder="1" applyAlignment="1">
      <alignment horizontal="left"/>
    </xf>
    <xf numFmtId="0" fontId="35" fillId="20" borderId="16" xfId="3" applyFont="1" applyFill="1" applyBorder="1" applyAlignment="1" applyProtection="1">
      <alignment horizontal="center" vertical="center"/>
    </xf>
    <xf numFmtId="0" fontId="35" fillId="20" borderId="58" xfId="3" applyFont="1" applyFill="1" applyBorder="1" applyAlignment="1" applyProtection="1">
      <alignment horizontal="center" vertical="center"/>
    </xf>
    <xf numFmtId="0" fontId="35" fillId="20" borderId="49" xfId="3" applyFont="1" applyFill="1" applyBorder="1" applyAlignment="1" applyProtection="1">
      <alignment horizontal="center" vertical="center"/>
    </xf>
    <xf numFmtId="0" fontId="51" fillId="16" borderId="16" xfId="3" applyFont="1" applyFill="1" applyBorder="1" applyAlignment="1">
      <alignment horizontal="left" vertical="top" wrapText="1"/>
    </xf>
    <xf numFmtId="0" fontId="51" fillId="16" borderId="58" xfId="3" applyFont="1" applyFill="1" applyBorder="1" applyAlignment="1">
      <alignment horizontal="left" vertical="top" wrapText="1"/>
    </xf>
    <xf numFmtId="0" fontId="51" fillId="16" borderId="49" xfId="3" applyFont="1" applyFill="1" applyBorder="1" applyAlignment="1">
      <alignment horizontal="left" vertical="top" wrapText="1"/>
    </xf>
    <xf numFmtId="0" fontId="51" fillId="16" borderId="52" xfId="3" applyFont="1" applyFill="1" applyBorder="1" applyAlignment="1" applyProtection="1">
      <alignment horizontal="center" vertical="center" wrapText="1"/>
    </xf>
    <xf numFmtId="0" fontId="51" fillId="16" borderId="57" xfId="3" applyFont="1" applyFill="1" applyBorder="1" applyAlignment="1" applyProtection="1">
      <alignment horizontal="center" vertical="center" wrapText="1"/>
    </xf>
    <xf numFmtId="0" fontId="51" fillId="16" borderId="53" xfId="3" applyFont="1" applyFill="1" applyBorder="1" applyAlignment="1" applyProtection="1">
      <alignment horizontal="center" vertical="center" wrapText="1"/>
    </xf>
    <xf numFmtId="0" fontId="51" fillId="16" borderId="55" xfId="3" applyFont="1" applyFill="1" applyBorder="1" applyAlignment="1" applyProtection="1">
      <alignment horizontal="center" vertical="center" wrapText="1"/>
    </xf>
  </cellXfs>
  <cellStyles count="5">
    <cellStyle name="Euro" xfId="1"/>
    <cellStyle name="Migliaia" xfId="2" builtinId="3"/>
    <cellStyle name="Normale" xfId="0" builtinId="0"/>
    <cellStyle name="Normale 2" xfId="3"/>
    <cellStyle name="Percentuale" xfId="4" builtinId="5"/>
  </cellStyles>
  <dxfs count="29">
    <dxf>
      <font>
        <color theme="1"/>
      </font>
      <fill>
        <patternFill>
          <bgColor theme="1"/>
        </patternFill>
      </fill>
    </dxf>
    <dxf>
      <font>
        <color theme="1"/>
      </font>
      <fill>
        <patternFill patternType="none">
          <fgColor indexed="64"/>
          <bgColor indexed="65"/>
        </patternFill>
      </fill>
    </dxf>
    <dxf>
      <font>
        <color theme="1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00B0F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3264848633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35926912"/>
        <c:axId val="135928448"/>
      </c:barChart>
      <c:catAx>
        <c:axId val="135926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5928448"/>
        <c:crosses val="autoZero"/>
        <c:auto val="1"/>
        <c:lblAlgn val="ctr"/>
        <c:lblOffset val="100"/>
        <c:tickLblSkip val="1"/>
        <c:tickMarkSkip val="1"/>
      </c:catAx>
      <c:valAx>
        <c:axId val="1359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5926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3264848633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35965312"/>
        <c:axId val="135983488"/>
      </c:barChart>
      <c:catAx>
        <c:axId val="13596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5983488"/>
        <c:crosses val="autoZero"/>
        <c:auto val="1"/>
        <c:lblAlgn val="ctr"/>
        <c:lblOffset val="100"/>
        <c:tickLblSkip val="1"/>
        <c:tickMarkSkip val="1"/>
      </c:catAx>
      <c:valAx>
        <c:axId val="13598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5965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6384683079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494656"/>
        <c:axId val="151496192"/>
      </c:barChart>
      <c:catAx>
        <c:axId val="15149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496192"/>
        <c:crosses val="autoZero"/>
        <c:auto val="1"/>
        <c:lblAlgn val="ctr"/>
        <c:lblOffset val="100"/>
        <c:tickLblSkip val="1"/>
        <c:tickMarkSkip val="1"/>
      </c:catAx>
      <c:valAx>
        <c:axId val="15149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4946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3264848633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540864"/>
        <c:axId val="151542400"/>
      </c:barChart>
      <c:catAx>
        <c:axId val="15154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542400"/>
        <c:crosses val="autoZero"/>
        <c:auto val="1"/>
        <c:lblAlgn val="ctr"/>
        <c:lblOffset val="100"/>
        <c:tickLblSkip val="1"/>
        <c:tickMarkSkip val="1"/>
      </c:catAx>
      <c:valAx>
        <c:axId val="15154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540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3264848633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664896"/>
        <c:axId val="151674880"/>
      </c:barChart>
      <c:catAx>
        <c:axId val="151664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674880"/>
        <c:crosses val="autoZero"/>
        <c:auto val="1"/>
        <c:lblAlgn val="ctr"/>
        <c:lblOffset val="100"/>
        <c:tickLblSkip val="1"/>
        <c:tickMarkSkip val="1"/>
      </c:catAx>
      <c:valAx>
        <c:axId val="15167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6648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3264848633"/>
          <c:y val="2.7200193326217832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592320"/>
        <c:axId val="151606400"/>
      </c:barChart>
      <c:catAx>
        <c:axId val="15159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606400"/>
        <c:crosses val="autoZero"/>
        <c:auto val="1"/>
        <c:lblAlgn val="ctr"/>
        <c:lblOffset val="100"/>
        <c:tickLblSkip val="1"/>
        <c:tickMarkSkip val="1"/>
      </c:catAx>
      <c:valAx>
        <c:axId val="15160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592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6384683079"/>
          <c:y val="2.720007057941326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728896"/>
        <c:axId val="151730432"/>
      </c:barChart>
      <c:catAx>
        <c:axId val="15172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730432"/>
        <c:crosses val="autoZero"/>
        <c:auto val="1"/>
        <c:lblAlgn val="ctr"/>
        <c:lblOffset val="100"/>
        <c:tickLblSkip val="1"/>
        <c:tickMarkSkip val="1"/>
      </c:catAx>
      <c:valAx>
        <c:axId val="15173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7288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Graf. 1 - Pagamenti diretti 2014-2020</a:t>
            </a:r>
          </a:p>
        </c:rich>
      </c:tx>
      <c:layout>
        <c:manualLayout>
          <c:xMode val="edge"/>
          <c:yMode val="edge"/>
          <c:x val="0.30235071997216173"/>
          <c:y val="2.7200078251088205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51782912"/>
        <c:axId val="151784448"/>
      </c:barChart>
      <c:catAx>
        <c:axId val="151782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784448"/>
        <c:crosses val="autoZero"/>
        <c:auto val="1"/>
        <c:lblAlgn val="ctr"/>
        <c:lblOffset val="100"/>
        <c:tickLblSkip val="1"/>
        <c:tickMarkSkip val="1"/>
      </c:catAx>
      <c:valAx>
        <c:axId val="15178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1782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000000000000366" r="0.750000000000003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Valore dei pagamenti diretti 2014-2020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372250419632777E-2"/>
          <c:y val="0.11995522261422202"/>
          <c:w val="0.76073695593781543"/>
          <c:h val="0.83296009721838338"/>
        </c:manualLayout>
      </c:layout>
      <c:barChart>
        <c:barDir val="col"/>
        <c:grouping val="stacked"/>
        <c:ser>
          <c:idx val="0"/>
          <c:order val="0"/>
          <c:tx>
            <c:strRef>
              <c:f>'Maschera di Calcolo'!$A$54</c:f>
              <c:strCache>
                <c:ptCount val="1"/>
                <c:pt idx="0">
                  <c:v>Pagamento di base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'Maschera di Calcolo'!$B$52:$H$52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'Maschera di Calcolo'!$B$54:$H$54</c:f>
              <c:numCache>
                <c:formatCode>#,##0.00_ ;\-#,##0.00\ </c:formatCode>
                <c:ptCount val="7"/>
                <c:pt idx="0">
                  <c:v>29635.380079999999</c:v>
                </c:pt>
                <c:pt idx="1">
                  <c:v>15932.972795437467</c:v>
                </c:pt>
                <c:pt idx="2">
                  <c:v>14915.974531898904</c:v>
                </c:pt>
                <c:pt idx="3" formatCode="_-* #,##0.00_-;\-* #,##0.00_-;_-* &quot;-&quot;??_-;_-@_-">
                  <c:v>13898.976268360344</c:v>
                </c:pt>
                <c:pt idx="4" formatCode="_-* #,##0.00_-;\-* #,##0.00_-;_-* &quot;-&quot;??_-;_-@_-">
                  <c:v>12881.978004821782</c:v>
                </c:pt>
                <c:pt idx="5" formatCode="_-* #,##0.00_-;\-* #,##0.00_-;_-* &quot;-&quot;??_-;_-@_-">
                  <c:v>11864.979741283219</c:v>
                </c:pt>
                <c:pt idx="6" formatCode="_-* #,##0.00_-;\-* #,##0.00_-;_-* &quot;-&quot;??_-;_-@_-">
                  <c:v>11864.979741283219</c:v>
                </c:pt>
              </c:numCache>
            </c:numRef>
          </c:val>
        </c:ser>
        <c:ser>
          <c:idx val="2"/>
          <c:order val="1"/>
          <c:tx>
            <c:strRef>
              <c:f>'Maschera di Calcolo'!$A$55</c:f>
              <c:strCache>
                <c:ptCount val="1"/>
                <c:pt idx="0">
                  <c:v>Greening</c:v>
                </c:pt>
              </c:strCache>
            </c:strRef>
          </c:tx>
          <c:spPr>
            <a:solidFill>
              <a:srgbClr val="008000"/>
            </a:solidFill>
          </c:spPr>
          <c:cat>
            <c:multiLvlStrRef>
              <c:f>'Maschera di Calcolo'!$B$43:$H$43</c:f>
            </c:multiLvlStrRef>
          </c:cat>
          <c:val>
            <c:numRef>
              <c:f>'Maschera di Calcolo'!$B$55:$H$55</c:f>
              <c:numCache>
                <c:formatCode>#,##0.00_ ;\-#,##0.00\ </c:formatCode>
                <c:ptCount val="7"/>
                <c:pt idx="0">
                  <c:v>0</c:v>
                </c:pt>
                <c:pt idx="1">
                  <c:v>8357.177182559999</c:v>
                </c:pt>
                <c:pt idx="2">
                  <c:v>7823.7403411199994</c:v>
                </c:pt>
                <c:pt idx="3">
                  <c:v>7290.3034996800006</c:v>
                </c:pt>
                <c:pt idx="4">
                  <c:v>6756.8666582399992</c:v>
                </c:pt>
                <c:pt idx="5">
                  <c:v>6223.4298167999996</c:v>
                </c:pt>
                <c:pt idx="6">
                  <c:v>6223.4298167999996</c:v>
                </c:pt>
              </c:numCache>
            </c:numRef>
          </c:val>
        </c:ser>
        <c:ser>
          <c:idx val="4"/>
          <c:order val="2"/>
          <c:tx>
            <c:strRef>
              <c:f>'Maschera di Calcolo'!$A$56</c:f>
              <c:strCache>
                <c:ptCount val="1"/>
                <c:pt idx="0">
                  <c:v>Giovani agricoltori</c:v>
                </c:pt>
              </c:strCache>
            </c:strRef>
          </c:tx>
          <c:cat>
            <c:multiLvlStrRef>
              <c:f>'Maschera di Calcolo'!$B$43:$H$43</c:f>
            </c:multiLvlStrRef>
          </c:cat>
          <c:val>
            <c:numRef>
              <c:f>'Maschera di Calcolo'!$B$56:$H$56</c:f>
              <c:numCache>
                <c:formatCode>#,##0.00_ ;\-#,##0.00\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3"/>
          <c:tx>
            <c:strRef>
              <c:f>'Maschera di Calcolo'!$A$57</c:f>
              <c:strCache>
                <c:ptCount val="1"/>
                <c:pt idx="0">
                  <c:v>Accoppiato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'Maschera di Calcolo'!$B$43:$H$43</c:f>
            </c:multiLvlStrRef>
          </c:cat>
          <c:val>
            <c:numRef>
              <c:f>'Maschera di Calcolo'!$B$57:$H$57</c:f>
              <c:numCache>
                <c:formatCode>#,##0.00_ ;\-#,##0.00\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51827584"/>
        <c:axId val="151829120"/>
      </c:barChart>
      <c:catAx>
        <c:axId val="151827584"/>
        <c:scaling>
          <c:orientation val="minMax"/>
        </c:scaling>
        <c:axPos val="b"/>
        <c:numFmt formatCode="General" sourceLinked="1"/>
        <c:tickLblPos val="nextTo"/>
        <c:crossAx val="151829120"/>
        <c:crosses val="autoZero"/>
        <c:auto val="1"/>
        <c:lblAlgn val="ctr"/>
        <c:lblOffset val="100"/>
      </c:catAx>
      <c:valAx>
        <c:axId val="151829120"/>
        <c:scaling>
          <c:orientation val="minMax"/>
        </c:scaling>
        <c:axPos val="l"/>
        <c:majorGridlines/>
        <c:numFmt formatCode="\€\ #,##0" sourceLinked="0"/>
        <c:tickLblPos val="nextTo"/>
        <c:crossAx val="15182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72677591263209"/>
          <c:y val="0.42825135550124122"/>
          <c:w val="0.18302676762482389"/>
          <c:h val="0.18946198711965923"/>
        </c:manualLayout>
      </c:layout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ln>
      <a:noFill/>
    </a:ln>
  </c:spPr>
  <c:printSettings>
    <c:headerFooter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1076325</xdr:colOff>
      <xdr:row>0</xdr:row>
      <xdr:rowOff>400050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76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175847</xdr:colOff>
      <xdr:row>26</xdr:row>
      <xdr:rowOff>87924</xdr:rowOff>
    </xdr:from>
    <xdr:to>
      <xdr:col>0</xdr:col>
      <xdr:colOff>1013115</xdr:colOff>
      <xdr:row>28</xdr:row>
      <xdr:rowOff>77932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847" y="9641499"/>
          <a:ext cx="837268" cy="380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0</xdr:rowOff>
    </xdr:from>
    <xdr:to>
      <xdr:col>23</xdr:col>
      <xdr:colOff>9525</xdr:colOff>
      <xdr:row>0</xdr:row>
      <xdr:rowOff>0</xdr:rowOff>
    </xdr:to>
    <xdr:graphicFrame macro="">
      <xdr:nvGraphicFramePr>
        <xdr:cNvPr id="10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266700</xdr:colOff>
      <xdr:row>40</xdr:row>
      <xdr:rowOff>0</xdr:rowOff>
    </xdr:from>
    <xdr:to>
      <xdr:col>23</xdr:col>
      <xdr:colOff>9525</xdr:colOff>
      <xdr:row>40</xdr:row>
      <xdr:rowOff>0</xdr:rowOff>
    </xdr:to>
    <xdr:graphicFrame macro="">
      <xdr:nvGraphicFramePr>
        <xdr:cNvPr id="10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23</xdr:col>
      <xdr:colOff>409575</xdr:colOff>
      <xdr:row>40</xdr:row>
      <xdr:rowOff>0</xdr:rowOff>
    </xdr:to>
    <xdr:graphicFrame macro="">
      <xdr:nvGraphicFramePr>
        <xdr:cNvPr id="10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533400</xdr:colOff>
      <xdr:row>3</xdr:row>
      <xdr:rowOff>133350</xdr:rowOff>
    </xdr:from>
    <xdr:to>
      <xdr:col>25</xdr:col>
      <xdr:colOff>190500</xdr:colOff>
      <xdr:row>56</xdr:row>
      <xdr:rowOff>152400</xdr:rowOff>
    </xdr:to>
    <xdr:graphicFrame macro="">
      <xdr:nvGraphicFramePr>
        <xdr:cNvPr id="106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39077</xdr:colOff>
      <xdr:row>19</xdr:row>
      <xdr:rowOff>39077</xdr:rowOff>
    </xdr:from>
    <xdr:to>
      <xdr:col>4</xdr:col>
      <xdr:colOff>1</xdr:colOff>
      <xdr:row>20</xdr:row>
      <xdr:rowOff>1</xdr:rowOff>
    </xdr:to>
    <xdr:sp macro="[0]!Valutazionegreening" textlink="">
      <xdr:nvSpPr>
        <xdr:cNvPr id="2" name="Rettangolo 1"/>
        <xdr:cNvSpPr/>
      </xdr:nvSpPr>
      <xdr:spPr>
        <a:xfrm>
          <a:off x="6877539" y="4982308"/>
          <a:ext cx="1524000" cy="273539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0</xdr:col>
      <xdr:colOff>205154</xdr:colOff>
      <xdr:row>0</xdr:row>
      <xdr:rowOff>131885</xdr:rowOff>
    </xdr:from>
    <xdr:to>
      <xdr:col>0</xdr:col>
      <xdr:colOff>1919653</xdr:colOff>
      <xdr:row>2</xdr:row>
      <xdr:rowOff>29308</xdr:rowOff>
    </xdr:to>
    <xdr:pic>
      <xdr:nvPicPr>
        <xdr:cNvPr id="12" name="Immagine 11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154" y="131885"/>
          <a:ext cx="1714499" cy="659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175846</xdr:colOff>
      <xdr:row>83</xdr:row>
      <xdr:rowOff>87924</xdr:rowOff>
    </xdr:from>
    <xdr:to>
      <xdr:col>0</xdr:col>
      <xdr:colOff>2461847</xdr:colOff>
      <xdr:row>87</xdr:row>
      <xdr:rowOff>102578</xdr:rowOff>
    </xdr:to>
    <xdr:pic>
      <xdr:nvPicPr>
        <xdr:cNvPr id="16" name="Immagine 15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846" y="11957539"/>
          <a:ext cx="2286001" cy="732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510887</xdr:colOff>
      <xdr:row>0</xdr:row>
      <xdr:rowOff>103910</xdr:rowOff>
    </xdr:from>
    <xdr:to>
      <xdr:col>11</xdr:col>
      <xdr:colOff>406977</xdr:colOff>
      <xdr:row>2</xdr:row>
      <xdr:rowOff>320387</xdr:rowOff>
    </xdr:to>
    <xdr:sp macro="" textlink="">
      <xdr:nvSpPr>
        <xdr:cNvPr id="2" name="Rettangolo 1"/>
        <xdr:cNvSpPr/>
      </xdr:nvSpPr>
      <xdr:spPr>
        <a:xfrm>
          <a:off x="7109114" y="103910"/>
          <a:ext cx="1662545" cy="909204"/>
        </a:xfrm>
        <a:prstGeom prst="rect">
          <a:avLst/>
        </a:prstGeom>
        <a:ln cap="rnd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600"/>
            <a:t>Compilare la colonna "consistenza"</a:t>
          </a:r>
        </a:p>
      </xdr:txBody>
    </xdr:sp>
    <xdr:clientData/>
  </xdr:twoCellAnchor>
  <xdr:twoCellAnchor>
    <xdr:from>
      <xdr:col>8</xdr:col>
      <xdr:colOff>34637</xdr:colOff>
      <xdr:row>1</xdr:row>
      <xdr:rowOff>112568</xdr:rowOff>
    </xdr:from>
    <xdr:to>
      <xdr:col>8</xdr:col>
      <xdr:colOff>467591</xdr:colOff>
      <xdr:row>1</xdr:row>
      <xdr:rowOff>285750</xdr:rowOff>
    </xdr:to>
    <xdr:cxnSp macro="">
      <xdr:nvCxnSpPr>
        <xdr:cNvPr id="4" name="Connettore 2 3"/>
        <xdr:cNvCxnSpPr/>
      </xdr:nvCxnSpPr>
      <xdr:spPr>
        <a:xfrm flipH="1">
          <a:off x="6632864" y="467591"/>
          <a:ext cx="432954" cy="173182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684065</xdr:colOff>
      <xdr:row>0</xdr:row>
      <xdr:rowOff>43295</xdr:rowOff>
    </xdr:from>
    <xdr:to>
      <xdr:col>0</xdr:col>
      <xdr:colOff>1828800</xdr:colOff>
      <xdr:row>0</xdr:row>
      <xdr:rowOff>466724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4065" y="43295"/>
          <a:ext cx="1144735" cy="42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175847</xdr:colOff>
      <xdr:row>27</xdr:row>
      <xdr:rowOff>87924</xdr:rowOff>
    </xdr:from>
    <xdr:to>
      <xdr:col>0</xdr:col>
      <xdr:colOff>1013115</xdr:colOff>
      <xdr:row>29</xdr:row>
      <xdr:rowOff>77932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847" y="9673538"/>
          <a:ext cx="837268" cy="379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92074</xdr:colOff>
      <xdr:row>1</xdr:row>
      <xdr:rowOff>133349</xdr:rowOff>
    </xdr:from>
    <xdr:to>
      <xdr:col>3</xdr:col>
      <xdr:colOff>1339849</xdr:colOff>
      <xdr:row>3</xdr:row>
      <xdr:rowOff>190500</xdr:rowOff>
    </xdr:to>
    <xdr:sp macro="[0]!Azzeragreening" textlink="">
      <xdr:nvSpPr>
        <xdr:cNvPr id="2" name="Rectangle 2"/>
        <xdr:cNvSpPr>
          <a:spLocks noChangeArrowheads="1"/>
        </xdr:cNvSpPr>
      </xdr:nvSpPr>
      <xdr:spPr bwMode="auto">
        <a:xfrm>
          <a:off x="7940674" y="527049"/>
          <a:ext cx="1247775" cy="527051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Calibri"/>
            </a:rPr>
            <a:t>Azzera i campi greening</a:t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3</xdr:col>
      <xdr:colOff>9525</xdr:colOff>
      <xdr:row>18</xdr:row>
      <xdr:rowOff>0</xdr:rowOff>
    </xdr:to>
    <xdr:sp macro="[0]!EFA" textlink="">
      <xdr:nvSpPr>
        <xdr:cNvPr id="5125" name="Rectangle 1"/>
        <xdr:cNvSpPr>
          <a:spLocks noChangeArrowheads="1"/>
        </xdr:cNvSpPr>
      </xdr:nvSpPr>
      <xdr:spPr bwMode="auto">
        <a:xfrm>
          <a:off x="4924425" y="4562475"/>
          <a:ext cx="1943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25</xdr:row>
      <xdr:rowOff>38099</xdr:rowOff>
    </xdr:from>
    <xdr:to>
      <xdr:col>7</xdr:col>
      <xdr:colOff>0</xdr:colOff>
      <xdr:row>27</xdr:row>
      <xdr:rowOff>121780</xdr:rowOff>
    </xdr:to>
    <xdr:sp macro="[0]!Diversificazione" textlink="">
      <xdr:nvSpPr>
        <xdr:cNvPr id="2" name="Rectangle 17"/>
        <xdr:cNvSpPr>
          <a:spLocks noChangeArrowheads="1"/>
        </xdr:cNvSpPr>
      </xdr:nvSpPr>
      <xdr:spPr bwMode="auto">
        <a:xfrm>
          <a:off x="8590767" y="5918373"/>
          <a:ext cx="1569233" cy="466421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0000"/>
              </a:solidFill>
              <a:latin typeface="Calibri"/>
            </a:rPr>
            <a:t>Ritorna alla diversificazione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 enableFormatConditionsCalculation="0">
    <tabColor theme="0" tint="-0.499984740745262"/>
  </sheetPr>
  <dimension ref="A1:E32"/>
  <sheetViews>
    <sheetView topLeftCell="A13" workbookViewId="0">
      <selection activeCell="A12" sqref="A12"/>
    </sheetView>
  </sheetViews>
  <sheetFormatPr defaultColWidth="8.85546875" defaultRowHeight="12.75"/>
  <cols>
    <col min="1" max="1" width="47.140625" customWidth="1"/>
    <col min="2" max="2" width="8.7109375" customWidth="1"/>
    <col min="3" max="3" width="18.7109375" style="8" customWidth="1"/>
    <col min="4" max="4" width="29" customWidth="1"/>
  </cols>
  <sheetData>
    <row r="1" spans="1:4" s="227" customFormat="1" ht="38.25" customHeight="1">
      <c r="A1" s="224" t="s">
        <v>46</v>
      </c>
      <c r="B1" s="225"/>
      <c r="C1" s="226"/>
      <c r="D1" s="225"/>
    </row>
    <row r="2" spans="1:4">
      <c r="A2" t="s">
        <v>15</v>
      </c>
      <c r="C2" s="8" t="s">
        <v>16</v>
      </c>
      <c r="D2" s="9">
        <v>12000000</v>
      </c>
    </row>
    <row r="3" spans="1:4">
      <c r="A3" t="s">
        <v>64</v>
      </c>
      <c r="B3">
        <v>2014</v>
      </c>
      <c r="C3" s="8" t="s">
        <v>2</v>
      </c>
      <c r="D3" s="9">
        <v>3953394000</v>
      </c>
    </row>
    <row r="4" spans="1:4">
      <c r="B4">
        <v>2015</v>
      </c>
      <c r="C4" s="8" t="s">
        <v>2</v>
      </c>
      <c r="D4" s="9">
        <v>3902039000</v>
      </c>
    </row>
    <row r="5" spans="1:4">
      <c r="B5">
        <v>2016</v>
      </c>
      <c r="C5" s="8" t="s">
        <v>2</v>
      </c>
      <c r="D5" s="9">
        <v>3850805000</v>
      </c>
    </row>
    <row r="6" spans="1:4">
      <c r="B6">
        <v>2017</v>
      </c>
      <c r="C6" s="8" t="s">
        <v>2</v>
      </c>
      <c r="D6" s="9">
        <v>3799540000</v>
      </c>
    </row>
    <row r="7" spans="1:4">
      <c r="B7">
        <v>2018</v>
      </c>
      <c r="C7" s="8" t="s">
        <v>2</v>
      </c>
      <c r="D7" s="9">
        <v>3751937000</v>
      </c>
    </row>
    <row r="8" spans="1:4">
      <c r="B8">
        <v>2019</v>
      </c>
      <c r="C8" s="8" t="s">
        <v>2</v>
      </c>
      <c r="D8" s="9">
        <v>3704337000</v>
      </c>
    </row>
    <row r="9" spans="1:4">
      <c r="B9">
        <v>2020</v>
      </c>
      <c r="C9" s="8" t="s">
        <v>2</v>
      </c>
      <c r="D9" s="9">
        <v>3704337000</v>
      </c>
    </row>
    <row r="10" spans="1:4">
      <c r="D10" s="9"/>
    </row>
    <row r="11" spans="1:4">
      <c r="A11" t="s">
        <v>63</v>
      </c>
      <c r="C11" s="8" t="s">
        <v>2</v>
      </c>
      <c r="D11" s="9">
        <v>4379985000</v>
      </c>
    </row>
    <row r="12" spans="1:4">
      <c r="A12" t="s">
        <v>18</v>
      </c>
      <c r="C12" s="8" t="s">
        <v>2</v>
      </c>
      <c r="D12" s="9">
        <f>+D3</f>
        <v>3953394000</v>
      </c>
    </row>
    <row r="13" spans="1:4">
      <c r="A13" t="s">
        <v>131</v>
      </c>
      <c r="C13" s="8" t="s">
        <v>2</v>
      </c>
      <c r="D13" s="9">
        <v>3769644000</v>
      </c>
    </row>
    <row r="14" spans="1:4">
      <c r="A14" t="s">
        <v>19</v>
      </c>
      <c r="C14" s="8" t="s">
        <v>14</v>
      </c>
      <c r="D14" s="96">
        <v>8.41</v>
      </c>
    </row>
    <row r="15" spans="1:4">
      <c r="A15" t="s">
        <v>129</v>
      </c>
      <c r="C15" s="8" t="s">
        <v>14</v>
      </c>
      <c r="D15" s="95">
        <v>1.302214E-2</v>
      </c>
    </row>
    <row r="17" spans="1:5" s="13" customFormat="1">
      <c r="A17" s="30" t="s">
        <v>62</v>
      </c>
      <c r="B17" s="30"/>
      <c r="C17" s="31"/>
      <c r="D17" s="30"/>
    </row>
    <row r="18" spans="1:5">
      <c r="A18" t="s">
        <v>21</v>
      </c>
      <c r="C18" s="8" t="s">
        <v>14</v>
      </c>
      <c r="D18" s="12">
        <f>(1-0.3-0.11-D24-0.0174)*1.03</f>
        <v>0.57947800000000005</v>
      </c>
      <c r="E18" t="s">
        <v>65</v>
      </c>
    </row>
    <row r="19" spans="1:5">
      <c r="A19" t="s">
        <v>20</v>
      </c>
      <c r="C19" s="8" t="s">
        <v>2</v>
      </c>
      <c r="D19" s="9">
        <f>+$D$4*D18</f>
        <v>2261145755.6420002</v>
      </c>
    </row>
    <row r="20" spans="1:5">
      <c r="A20" t="s">
        <v>22</v>
      </c>
      <c r="C20" s="8" t="s">
        <v>2</v>
      </c>
      <c r="D20" s="9">
        <f>+$D$12</f>
        <v>3953394000</v>
      </c>
    </row>
    <row r="21" spans="1:5">
      <c r="A21" t="s">
        <v>6</v>
      </c>
      <c r="C21" s="8" t="s">
        <v>14</v>
      </c>
      <c r="D21" s="11">
        <f>+D19/D20</f>
        <v>0.57195052039892813</v>
      </c>
    </row>
    <row r="22" spans="1:5">
      <c r="A22" t="s">
        <v>23</v>
      </c>
      <c r="C22" s="8" t="s">
        <v>17</v>
      </c>
      <c r="D22" s="10">
        <f>+$D$8/$D$2*D18</f>
        <v>178.88181634050002</v>
      </c>
    </row>
    <row r="23" spans="1:5">
      <c r="A23" s="30" t="s">
        <v>47</v>
      </c>
      <c r="B23" s="30"/>
      <c r="C23" s="31"/>
      <c r="D23" s="30"/>
    </row>
    <row r="24" spans="1:5">
      <c r="A24" t="s">
        <v>51</v>
      </c>
      <c r="C24" s="8" t="s">
        <v>14</v>
      </c>
      <c r="D24" s="12">
        <v>0.01</v>
      </c>
    </row>
    <row r="25" spans="1:5">
      <c r="A25" t="s">
        <v>52</v>
      </c>
      <c r="C25" t="s">
        <v>49</v>
      </c>
      <c r="D25" t="s">
        <v>50</v>
      </c>
    </row>
    <row r="27" spans="1:5">
      <c r="A27" s="216"/>
      <c r="B27" s="229" t="s">
        <v>273</v>
      </c>
      <c r="C27" s="228"/>
      <c r="D27" s="228"/>
    </row>
    <row r="28" spans="1:5">
      <c r="A28" s="216"/>
      <c r="B28" s="216"/>
      <c r="C28" s="216"/>
      <c r="D28" s="216"/>
    </row>
    <row r="29" spans="1:5">
      <c r="A29" s="216"/>
      <c r="B29" s="216"/>
      <c r="C29" s="216"/>
      <c r="D29" s="216"/>
    </row>
    <row r="30" spans="1:5">
      <c r="A30" s="221" t="s">
        <v>274</v>
      </c>
      <c r="B30" s="221" t="s">
        <v>275</v>
      </c>
      <c r="C30" s="216"/>
      <c r="D30" s="216"/>
    </row>
    <row r="31" spans="1:5">
      <c r="A31" s="221" t="s">
        <v>276</v>
      </c>
      <c r="B31" s="221" t="s">
        <v>277</v>
      </c>
      <c r="C31" s="216"/>
      <c r="D31" s="216"/>
    </row>
    <row r="32" spans="1:5">
      <c r="A32" s="216"/>
      <c r="B32" s="216"/>
      <c r="C32" s="216"/>
      <c r="D32" s="216"/>
    </row>
  </sheetData>
  <phoneticPr fontId="4" type="noConversion"/>
  <dataValidations disablePrompts="1" count="1">
    <dataValidation type="list" allowBlank="1" showInputMessage="1" showErrorMessage="1" sqref="I24">
      <formula1>$C$25:$D$25</formula1>
    </dataValidation>
  </dataValidation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 enableFormatConditionsCalculation="0">
    <tabColor rgb="FF002060"/>
    <pageSetUpPr fitToPage="1"/>
  </sheetPr>
  <dimension ref="A1:AH92"/>
  <sheetViews>
    <sheetView tabSelected="1" zoomScale="65" zoomScaleNormal="65" zoomScalePageLayoutView="65" workbookViewId="0">
      <selection activeCell="E13" sqref="E13"/>
    </sheetView>
  </sheetViews>
  <sheetFormatPr defaultColWidth="8.85546875" defaultRowHeight="12.75"/>
  <cols>
    <col min="1" max="1" width="65" bestFit="1" customWidth="1"/>
    <col min="2" max="2" width="21.28515625" customWidth="1"/>
    <col min="3" max="3" width="22.5703125" customWidth="1"/>
    <col min="4" max="4" width="20.42578125" customWidth="1"/>
    <col min="5" max="5" width="17.85546875" customWidth="1"/>
    <col min="6" max="6" width="18.85546875" customWidth="1"/>
    <col min="7" max="7" width="18.28515625" customWidth="1"/>
    <col min="8" max="8" width="24" customWidth="1"/>
    <col min="9" max="9" width="2.42578125" customWidth="1"/>
    <col min="12" max="12" width="12" bestFit="1" customWidth="1"/>
    <col min="26" max="26" width="4.28515625" customWidth="1"/>
    <col min="28" max="28" width="18" bestFit="1" customWidth="1"/>
  </cols>
  <sheetData>
    <row r="1" spans="1:34" s="13" customFormat="1" ht="36.75" customHeight="1">
      <c r="A1" s="240" t="s">
        <v>69</v>
      </c>
      <c r="B1" s="243"/>
      <c r="C1" s="243"/>
      <c r="D1" s="243"/>
      <c r="E1" s="243"/>
      <c r="F1" s="243"/>
      <c r="G1" s="243"/>
      <c r="H1" s="243"/>
      <c r="I1" s="244"/>
      <c r="J1" s="240" t="s">
        <v>48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2"/>
      <c r="AA1" s="105"/>
      <c r="AB1" s="105"/>
      <c r="AC1" s="105"/>
      <c r="AD1" s="105"/>
      <c r="AE1" s="105"/>
      <c r="AF1" s="105"/>
      <c r="AG1" s="105"/>
      <c r="AH1" s="105"/>
    </row>
    <row r="2" spans="1:34" s="13" customFormat="1" ht="23.25" customHeight="1">
      <c r="A2" s="40"/>
      <c r="B2" s="94" t="s">
        <v>126</v>
      </c>
      <c r="C2" s="251"/>
      <c r="D2" s="252"/>
      <c r="E2" s="252"/>
      <c r="F2" s="40"/>
      <c r="G2" s="40"/>
      <c r="H2" s="40"/>
      <c r="I2" s="41"/>
      <c r="J2" s="4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105"/>
      <c r="AB2" s="105"/>
      <c r="AC2" s="105"/>
      <c r="AD2" s="105"/>
      <c r="AE2" s="105"/>
      <c r="AF2" s="105"/>
      <c r="AG2" s="105"/>
      <c r="AH2" s="105"/>
    </row>
    <row r="3" spans="1:34" s="13" customFormat="1" ht="24.7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41"/>
      <c r="J3" s="42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105"/>
      <c r="AB3" s="105"/>
      <c r="AC3" s="105"/>
      <c r="AD3" s="105"/>
      <c r="AE3" s="105"/>
      <c r="AF3" s="105"/>
      <c r="AG3" s="105"/>
      <c r="AH3" s="105"/>
    </row>
    <row r="4" spans="1:34" s="1" customFormat="1" ht="23.25" customHeight="1">
      <c r="A4" s="247" t="s">
        <v>33</v>
      </c>
      <c r="B4" s="247"/>
      <c r="C4" s="43" t="s">
        <v>34</v>
      </c>
      <c r="D4" s="44" t="s">
        <v>39</v>
      </c>
      <c r="E4" s="18"/>
      <c r="F4" s="18"/>
      <c r="G4" s="18"/>
      <c r="H4" s="18"/>
      <c r="I4" s="19"/>
      <c r="J4" s="25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06"/>
      <c r="AB4" s="106"/>
      <c r="AC4" s="106"/>
      <c r="AD4" s="106"/>
      <c r="AE4" s="106"/>
      <c r="AF4" s="106"/>
      <c r="AG4" s="106"/>
      <c r="AH4" s="106"/>
    </row>
    <row r="5" spans="1:34" ht="22.5" customHeight="1">
      <c r="A5" s="245" t="s">
        <v>127</v>
      </c>
      <c r="B5" s="246"/>
      <c r="C5" s="29" t="s">
        <v>2</v>
      </c>
      <c r="D5" s="37">
        <v>30000</v>
      </c>
      <c r="E5" s="20" t="s">
        <v>128</v>
      </c>
      <c r="F5" s="18"/>
      <c r="G5" s="18"/>
      <c r="H5" s="18"/>
      <c r="I5" s="19"/>
      <c r="J5" s="2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05"/>
      <c r="AB5" s="105"/>
      <c r="AC5" s="105"/>
      <c r="AD5" s="105"/>
      <c r="AE5" s="105"/>
      <c r="AF5" s="105"/>
      <c r="AG5" s="105"/>
      <c r="AH5" s="105"/>
    </row>
    <row r="6" spans="1:34" ht="22.5" customHeight="1">
      <c r="A6" s="245" t="s">
        <v>13</v>
      </c>
      <c r="B6" s="246"/>
      <c r="C6" s="29" t="s">
        <v>3</v>
      </c>
      <c r="D6" s="37">
        <v>15</v>
      </c>
      <c r="E6" s="20" t="s">
        <v>40</v>
      </c>
      <c r="F6" s="18"/>
      <c r="G6" s="18"/>
      <c r="H6" s="18"/>
      <c r="I6" s="19"/>
      <c r="J6" s="2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/>
      <c r="AA6" s="105"/>
      <c r="AB6" s="105"/>
      <c r="AC6" s="105"/>
      <c r="AD6" s="105"/>
      <c r="AE6" s="105"/>
      <c r="AF6" s="105"/>
      <c r="AG6" s="105"/>
      <c r="AH6" s="105"/>
    </row>
    <row r="7" spans="1:34" ht="22.5" customHeight="1">
      <c r="A7" s="248" t="s">
        <v>12</v>
      </c>
      <c r="B7" s="249"/>
      <c r="C7" s="29" t="s">
        <v>2</v>
      </c>
      <c r="D7" s="47">
        <f>+IF(D5=0,"n.d.",D5/D6)</f>
        <v>2000</v>
      </c>
      <c r="E7" s="21"/>
      <c r="F7" s="18"/>
      <c r="G7" s="18"/>
      <c r="H7" s="18"/>
      <c r="I7" s="19"/>
      <c r="J7" s="2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A7" s="105"/>
      <c r="AB7" s="105"/>
      <c r="AC7" s="105"/>
      <c r="AD7" s="105"/>
      <c r="AE7" s="105"/>
      <c r="AF7" s="105"/>
      <c r="AG7" s="105"/>
      <c r="AH7" s="105"/>
    </row>
    <row r="8" spans="1:34" ht="22.5" customHeight="1">
      <c r="A8" s="245" t="s">
        <v>5</v>
      </c>
      <c r="B8" s="246"/>
      <c r="C8" s="29" t="s">
        <v>2</v>
      </c>
      <c r="D8" s="101"/>
      <c r="E8" s="46" t="s">
        <v>59</v>
      </c>
      <c r="F8" s="18"/>
      <c r="G8" s="18"/>
      <c r="H8" s="18"/>
      <c r="I8" s="19"/>
      <c r="J8" s="25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A8" s="105"/>
      <c r="AB8" s="105"/>
      <c r="AC8" s="105"/>
      <c r="AD8" s="105"/>
      <c r="AE8" s="105"/>
      <c r="AF8" s="105"/>
      <c r="AG8" s="105"/>
      <c r="AH8" s="105"/>
    </row>
    <row r="9" spans="1:34" ht="22.5" hidden="1" customHeight="1">
      <c r="A9" s="248" t="s">
        <v>143</v>
      </c>
      <c r="B9" s="249"/>
      <c r="C9" s="29" t="s">
        <v>14</v>
      </c>
      <c r="D9" s="126">
        <f>+D8/D12</f>
        <v>0</v>
      </c>
      <c r="E9" s="46"/>
      <c r="F9" s="18"/>
      <c r="G9" s="18"/>
      <c r="H9" s="18"/>
      <c r="I9" s="19"/>
      <c r="J9" s="2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  <c r="AA9" s="105"/>
      <c r="AB9" s="105"/>
      <c r="AC9" s="105"/>
      <c r="AD9" s="105"/>
      <c r="AE9" s="105"/>
      <c r="AF9" s="105"/>
      <c r="AG9" s="105"/>
      <c r="AH9" s="105"/>
    </row>
    <row r="10" spans="1:34" ht="22.5" customHeight="1">
      <c r="A10" s="245" t="s">
        <v>41</v>
      </c>
      <c r="B10" s="246"/>
      <c r="C10" s="29" t="s">
        <v>42</v>
      </c>
      <c r="D10" s="39" t="s">
        <v>50</v>
      </c>
      <c r="E10" s="20" t="s">
        <v>43</v>
      </c>
      <c r="F10" s="18"/>
      <c r="G10" s="18"/>
      <c r="H10" s="18"/>
      <c r="I10" s="19"/>
      <c r="J10" s="2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105"/>
      <c r="AB10" s="105"/>
      <c r="AC10" s="105"/>
      <c r="AD10" s="105"/>
      <c r="AE10" s="105"/>
      <c r="AF10" s="105"/>
      <c r="AG10" s="105"/>
      <c r="AH10" s="105"/>
    </row>
    <row r="11" spans="1:34" ht="22.5" customHeight="1">
      <c r="A11" s="254" t="str">
        <f>+IF(D10="Si", "Da che anno è giovane agricoltore?","")</f>
        <v/>
      </c>
      <c r="B11" s="255"/>
      <c r="C11" s="48" t="s">
        <v>57</v>
      </c>
      <c r="D11" s="49"/>
      <c r="E11" s="20" t="s">
        <v>61</v>
      </c>
      <c r="F11" s="18"/>
      <c r="G11" s="18"/>
      <c r="H11" s="18"/>
      <c r="I11" s="19"/>
      <c r="J11" s="2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05"/>
      <c r="AB11" s="105"/>
      <c r="AC11" s="105"/>
      <c r="AD11" s="105"/>
      <c r="AE11" s="105"/>
      <c r="AF11" s="105"/>
      <c r="AG11" s="105"/>
      <c r="AH11" s="105"/>
    </row>
    <row r="12" spans="1:34" ht="22.5" customHeight="1">
      <c r="A12" s="245" t="s">
        <v>4</v>
      </c>
      <c r="B12" s="246"/>
      <c r="C12" s="29" t="s">
        <v>2</v>
      </c>
      <c r="D12" s="14">
        <f>+D5+D8</f>
        <v>30000</v>
      </c>
      <c r="E12" s="18"/>
      <c r="F12" s="106"/>
      <c r="G12" s="253" t="str">
        <f>+IF(AND(D15&lt;&gt;0,D8=""),"Attenzione compilare anche la cella D8",IF(D15&gt;D8,"Attenzione il valore della cella D15 deve essere minore o uguale di quello della cella D8",""))</f>
        <v/>
      </c>
      <c r="H12" s="253"/>
      <c r="I12" s="19"/>
      <c r="J12" s="2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  <c r="AA12" s="105"/>
      <c r="AB12" s="105"/>
      <c r="AC12" s="105"/>
      <c r="AD12" s="105"/>
      <c r="AE12" s="105"/>
      <c r="AF12" s="105"/>
      <c r="AG12" s="105"/>
      <c r="AH12" s="105"/>
    </row>
    <row r="13" spans="1:34" ht="22.5" customHeight="1">
      <c r="A13" s="245" t="s">
        <v>129</v>
      </c>
      <c r="B13" s="246"/>
      <c r="C13" s="29" t="s">
        <v>2</v>
      </c>
      <c r="D13" s="14">
        <f>IF(D12&gt;2000,(D12-2000)*'dati impostazione'!$D$15,0)</f>
        <v>364.61991999999998</v>
      </c>
      <c r="E13" s="18"/>
      <c r="F13" s="105"/>
      <c r="G13" s="253"/>
      <c r="H13" s="253"/>
      <c r="I13" s="19"/>
      <c r="J13" s="2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05"/>
      <c r="AB13" s="105"/>
      <c r="AC13" s="105"/>
      <c r="AD13" s="105"/>
      <c r="AE13" s="105"/>
      <c r="AF13" s="105"/>
      <c r="AG13" s="105"/>
      <c r="AH13" s="105"/>
    </row>
    <row r="14" spans="1:34" ht="22.5" customHeight="1">
      <c r="A14" s="245" t="s">
        <v>24</v>
      </c>
      <c r="B14" s="246"/>
      <c r="C14" s="29" t="s">
        <v>2</v>
      </c>
      <c r="D14" s="14">
        <f>+D12-D13</f>
        <v>29635.380079999999</v>
      </c>
      <c r="E14" s="18"/>
      <c r="F14" s="18"/>
      <c r="G14" s="253"/>
      <c r="H14" s="253"/>
      <c r="I14" s="19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05"/>
      <c r="AB14" s="105"/>
      <c r="AC14" s="105"/>
      <c r="AD14" s="105"/>
      <c r="AE14" s="105"/>
      <c r="AF14" s="105"/>
      <c r="AG14" s="105"/>
      <c r="AH14" s="105"/>
    </row>
    <row r="15" spans="1:34" ht="22.5" customHeight="1">
      <c r="A15" s="245" t="s">
        <v>67</v>
      </c>
      <c r="B15" s="246"/>
      <c r="C15" s="29" t="s">
        <v>2</v>
      </c>
      <c r="D15" s="38"/>
      <c r="E15" s="20" t="s">
        <v>68</v>
      </c>
      <c r="F15" s="18"/>
      <c r="G15" s="253"/>
      <c r="H15" s="253"/>
      <c r="I15" s="19"/>
      <c r="J15" s="2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05"/>
      <c r="AB15" s="105"/>
      <c r="AC15" s="105"/>
      <c r="AD15" s="105"/>
      <c r="AE15" s="105"/>
      <c r="AF15" s="105"/>
      <c r="AG15" s="105"/>
      <c r="AH15" s="105"/>
    </row>
    <row r="16" spans="1:34" ht="22.5" hidden="1" customHeight="1">
      <c r="A16" s="248" t="s">
        <v>144</v>
      </c>
      <c r="B16" s="249"/>
      <c r="C16" s="29" t="s">
        <v>14</v>
      </c>
      <c r="D16" s="126" t="e">
        <f>+D15/D8</f>
        <v>#DIV/0!</v>
      </c>
      <c r="E16" s="20"/>
      <c r="F16" s="18"/>
      <c r="G16" s="18"/>
      <c r="H16" s="18"/>
      <c r="I16" s="19"/>
      <c r="J16" s="2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105"/>
      <c r="AB16" s="105"/>
      <c r="AC16" s="105"/>
      <c r="AD16" s="105"/>
      <c r="AE16" s="105"/>
      <c r="AF16" s="105"/>
      <c r="AG16" s="105"/>
      <c r="AH16" s="105"/>
    </row>
    <row r="17" spans="1:34" ht="22.5" customHeight="1">
      <c r="A17" s="245" t="s">
        <v>130</v>
      </c>
      <c r="B17" s="246"/>
      <c r="C17" s="29" t="s">
        <v>2</v>
      </c>
      <c r="D17" s="14">
        <f>+IF(D8="",B49,B49+D15-D13*D16*D9)</f>
        <v>29635.380079999999</v>
      </c>
      <c r="E17" s="18"/>
      <c r="F17" s="18"/>
      <c r="G17" s="18"/>
      <c r="H17" s="18"/>
      <c r="I17" s="19"/>
      <c r="J17" s="2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05"/>
      <c r="AB17" s="105"/>
      <c r="AC17" s="105"/>
      <c r="AD17" s="105"/>
      <c r="AE17" s="105"/>
      <c r="AF17" s="105"/>
      <c r="AG17" s="105"/>
      <c r="AH17" s="105"/>
    </row>
    <row r="18" spans="1:34" ht="22.5" customHeight="1">
      <c r="A18" s="248" t="s">
        <v>66</v>
      </c>
      <c r="B18" s="249"/>
      <c r="C18" s="29" t="s">
        <v>2</v>
      </c>
      <c r="D18" s="47">
        <f>+'Pagamento accoppiato'!H24</f>
        <v>0</v>
      </c>
      <c r="E18" s="20" t="s">
        <v>115</v>
      </c>
      <c r="F18" s="18"/>
      <c r="G18" s="18"/>
      <c r="H18" s="18"/>
      <c r="I18" s="19"/>
      <c r="J18" s="2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A18" s="105"/>
      <c r="AB18" s="105"/>
      <c r="AC18" s="105"/>
      <c r="AD18" s="105"/>
      <c r="AE18" s="105"/>
      <c r="AF18" s="105"/>
      <c r="AG18" s="105"/>
      <c r="AH18" s="105"/>
    </row>
    <row r="19" spans="1:34" ht="24" customHeight="1">
      <c r="A19" s="245" t="s">
        <v>10</v>
      </c>
      <c r="B19" s="246"/>
      <c r="C19" s="29" t="s">
        <v>3</v>
      </c>
      <c r="D19" s="37"/>
      <c r="E19" s="46" t="s">
        <v>113</v>
      </c>
      <c r="F19" s="18"/>
      <c r="G19" s="18"/>
      <c r="H19" s="18"/>
      <c r="I19" s="19"/>
      <c r="J19" s="2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05"/>
      <c r="AB19" s="105"/>
      <c r="AC19" s="105"/>
      <c r="AD19" s="105"/>
      <c r="AE19" s="105"/>
      <c r="AF19" s="105"/>
      <c r="AG19" s="105"/>
      <c r="AH19" s="105"/>
    </row>
    <row r="20" spans="1:34" ht="24" hidden="1" customHeight="1">
      <c r="A20" s="282" t="s">
        <v>262</v>
      </c>
      <c r="B20" s="249"/>
      <c r="C20" s="29" t="s">
        <v>42</v>
      </c>
      <c r="D20" s="197" t="s">
        <v>256</v>
      </c>
      <c r="E20" s="46"/>
      <c r="F20" s="18"/>
      <c r="G20" s="18"/>
      <c r="H20" s="18"/>
      <c r="I20" s="19"/>
      <c r="J20" s="2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05"/>
      <c r="AB20" s="105"/>
      <c r="AC20" s="105"/>
      <c r="AD20" s="105"/>
      <c r="AE20" s="105"/>
      <c r="AF20" s="105"/>
      <c r="AG20" s="105"/>
      <c r="AH20" s="105"/>
    </row>
    <row r="21" spans="1:34" ht="38.25" customHeight="1">
      <c r="A21" s="279" t="s">
        <v>117</v>
      </c>
      <c r="B21" s="280"/>
      <c r="C21" s="281"/>
      <c r="D21" s="66" t="s">
        <v>50</v>
      </c>
      <c r="E21" s="65"/>
      <c r="F21" s="18"/>
      <c r="G21" s="128"/>
      <c r="H21" s="18"/>
      <c r="I21" s="19"/>
      <c r="J21" s="2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05"/>
      <c r="AB21" s="105"/>
      <c r="AC21" s="105"/>
      <c r="AD21" s="105"/>
      <c r="AE21" s="105"/>
      <c r="AF21" s="105"/>
      <c r="AG21" s="105"/>
      <c r="AH21" s="105"/>
    </row>
    <row r="22" spans="1:34" ht="22.5" customHeight="1">
      <c r="A22" s="254" t="s">
        <v>124</v>
      </c>
      <c r="B22" s="255"/>
      <c r="C22" s="129" t="s">
        <v>2</v>
      </c>
      <c r="D22" s="130"/>
      <c r="E22" s="18"/>
      <c r="F22" s="18"/>
      <c r="G22" s="21"/>
      <c r="H22" s="18"/>
      <c r="I22" s="19"/>
      <c r="J22" s="2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105"/>
      <c r="AB22" s="105"/>
      <c r="AC22" s="105"/>
      <c r="AD22" s="105"/>
      <c r="AE22" s="105"/>
      <c r="AF22" s="105"/>
      <c r="AG22" s="105"/>
      <c r="AH22" s="105"/>
    </row>
    <row r="23" spans="1:34" ht="22.5" hidden="1" customHeight="1">
      <c r="A23" s="245" t="s">
        <v>6</v>
      </c>
      <c r="B23" s="246"/>
      <c r="C23" s="29" t="s">
        <v>14</v>
      </c>
      <c r="D23" s="15">
        <f>+'dati impostazione'!$D$21</f>
        <v>0.57195052039892813</v>
      </c>
      <c r="E23" s="18"/>
      <c r="F23" s="18"/>
      <c r="G23" s="21"/>
      <c r="H23" s="18"/>
      <c r="I23" s="19"/>
      <c r="J23" s="2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105"/>
      <c r="AB23" s="105"/>
      <c r="AC23" s="105"/>
      <c r="AD23" s="105"/>
      <c r="AE23" s="105"/>
      <c r="AF23" s="105"/>
      <c r="AG23" s="105"/>
      <c r="AH23" s="105"/>
    </row>
    <row r="24" spans="1:34" ht="22.5" customHeight="1">
      <c r="A24" s="245" t="s">
        <v>11</v>
      </c>
      <c r="B24" s="246"/>
      <c r="C24" s="29" t="s">
        <v>2</v>
      </c>
      <c r="D24" s="14">
        <f>+D23*D17/D30</f>
        <v>1129.9980705984019</v>
      </c>
      <c r="E24" s="18"/>
      <c r="F24" s="45"/>
      <c r="G24" s="45"/>
      <c r="H24" s="45"/>
      <c r="I24" s="19"/>
      <c r="J24" s="2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  <c r="AA24" s="105"/>
      <c r="AB24" s="105"/>
      <c r="AC24" s="105"/>
      <c r="AD24" s="105"/>
      <c r="AE24" s="105"/>
      <c r="AF24" s="105"/>
      <c r="AG24" s="105"/>
      <c r="AH24" s="105"/>
    </row>
    <row r="25" spans="1:34" ht="22.5" hidden="1" customHeight="1">
      <c r="A25" s="273" t="s">
        <v>38</v>
      </c>
      <c r="B25" s="274"/>
      <c r="C25" s="72" t="s">
        <v>2</v>
      </c>
      <c r="D25" s="73">
        <f>+IF(D31&lt;-30,1,IF(D31&lt;0,2,IF(D32&gt;90,3,IF(D38&gt;60,4,IF(D7="n.d.",5,5)))))</f>
        <v>1</v>
      </c>
      <c r="E25" s="18"/>
      <c r="F25" s="45"/>
      <c r="G25" s="45"/>
      <c r="H25" s="45"/>
      <c r="I25" s="19"/>
      <c r="J25" s="2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105"/>
      <c r="AB25" s="105"/>
      <c r="AC25" s="105"/>
      <c r="AD25" s="105"/>
      <c r="AE25" s="105"/>
      <c r="AF25" s="105"/>
      <c r="AG25" s="105"/>
      <c r="AH25" s="105"/>
    </row>
    <row r="26" spans="1:34" ht="45" customHeight="1">
      <c r="A26" s="261" t="s">
        <v>125</v>
      </c>
      <c r="B26" s="264" t="str">
        <f>+IF(D25=1,"Azienda che perde massimo il 30% del VUI",IF(D25=2,"Azienda che perde meno del 30% del VUI",IF(D25=3,"Azienda in cui il VUI è oltre il 90% del VUN",IF(D25=4,"Azienda in cui il VUI è meno del 90% del VUN ma al 2019 il VUI è superiore al 60% del VUN","Azienda che deve raggiungere il 60% del VUN"))))</f>
        <v>Azienda che perde massimo il 30% del VUI</v>
      </c>
      <c r="C26" s="264"/>
      <c r="D26" s="265"/>
      <c r="E26" s="256"/>
      <c r="F26" s="256"/>
      <c r="G26" s="256"/>
      <c r="H26" s="256"/>
      <c r="I26" s="19"/>
      <c r="J26" s="2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05"/>
      <c r="AB26" s="105"/>
      <c r="AC26" s="105"/>
      <c r="AD26" s="105"/>
      <c r="AE26" s="105"/>
      <c r="AF26" s="105"/>
      <c r="AG26" s="105"/>
      <c r="AH26" s="105"/>
    </row>
    <row r="27" spans="1:34" ht="39.75" customHeight="1">
      <c r="A27" s="262"/>
      <c r="B27" s="257" t="str">
        <f>+IF(D19="","",IF(OR(AND(D19&lt;D6,D40&gt;1000,D21="Si"),AND(D19&lt;D6,D21="No")),"ma che incorre negli effetti del guadagno insperato",""))</f>
        <v/>
      </c>
      <c r="C27" s="257"/>
      <c r="D27" s="258"/>
      <c r="E27" s="74"/>
      <c r="F27" s="74"/>
      <c r="G27" s="74"/>
      <c r="H27" s="75" t="s">
        <v>122</v>
      </c>
      <c r="I27" s="19"/>
      <c r="J27" s="2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05"/>
      <c r="AB27" s="105"/>
      <c r="AC27" s="105"/>
      <c r="AD27" s="105"/>
      <c r="AE27" s="105"/>
      <c r="AF27" s="105"/>
      <c r="AG27" s="105"/>
      <c r="AH27" s="105"/>
    </row>
    <row r="28" spans="1:34" ht="39.75" customHeight="1">
      <c r="A28" s="263"/>
      <c r="B28" s="259" t="str">
        <f>+IF(OR(C46&gt;150000,D46&gt;150000,E46&gt;150000,F46&gt;150000,G46&gt;150000,H46&gt;150000),"e che è soggetta alla riduzione dei pagamenti diretti (degressività)","")</f>
        <v/>
      </c>
      <c r="C28" s="259"/>
      <c r="D28" s="260"/>
      <c r="E28" s="74"/>
      <c r="F28" s="74"/>
      <c r="G28" s="74"/>
      <c r="H28" s="75"/>
      <c r="I28" s="19"/>
      <c r="J28" s="25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05"/>
      <c r="AB28" s="105"/>
      <c r="AC28" s="105"/>
      <c r="AD28" s="105"/>
      <c r="AE28" s="105"/>
      <c r="AF28" s="105"/>
      <c r="AG28" s="105"/>
      <c r="AH28" s="105"/>
    </row>
    <row r="29" spans="1:34" ht="18.75" hidden="1" customHeight="1">
      <c r="A29" s="275"/>
      <c r="B29" s="276"/>
      <c r="C29" s="276"/>
      <c r="D29" s="276"/>
      <c r="E29" s="22"/>
      <c r="F29" s="194" t="s">
        <v>264</v>
      </c>
      <c r="G29" s="45" t="str">
        <f>+IF(D19="",IF(D6&gt;=10,"Si","No"),IF(D19&gt;=10,"Si","No"))</f>
        <v>Si</v>
      </c>
      <c r="H29" s="45"/>
      <c r="I29" s="19"/>
      <c r="J29" s="2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  <c r="AA29" s="105"/>
      <c r="AB29" s="105"/>
      <c r="AC29" s="105"/>
      <c r="AD29" s="105"/>
      <c r="AE29" s="105"/>
      <c r="AF29" s="105"/>
      <c r="AG29" s="105"/>
      <c r="AH29" s="105"/>
    </row>
    <row r="30" spans="1:34" ht="22.5" hidden="1" customHeight="1">
      <c r="A30" s="245" t="s">
        <v>112</v>
      </c>
      <c r="B30" s="246"/>
      <c r="C30" s="6" t="s">
        <v>16</v>
      </c>
      <c r="D30" s="14">
        <f>+IF(D19="",D6,D19)</f>
        <v>15</v>
      </c>
      <c r="E30" s="22"/>
      <c r="F30" s="45" t="s">
        <v>261</v>
      </c>
      <c r="G30" s="207"/>
      <c r="H30" s="45"/>
      <c r="I30" s="19"/>
      <c r="J30" s="2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05"/>
      <c r="AB30" s="105"/>
      <c r="AC30" s="105"/>
      <c r="AD30" s="105"/>
      <c r="AE30" s="105"/>
      <c r="AF30" s="105"/>
      <c r="AG30" s="105"/>
      <c r="AH30" s="105"/>
    </row>
    <row r="31" spans="1:34" ht="22.5" hidden="1" customHeight="1">
      <c r="A31" s="277" t="s">
        <v>55</v>
      </c>
      <c r="B31" s="278"/>
      <c r="C31" s="6" t="s">
        <v>14</v>
      </c>
      <c r="D31" s="14">
        <f>+IF(D7="n.d.","parte da zero",(D34-D33)/D33*100)</f>
        <v>-84.169723737159003</v>
      </c>
      <c r="E31" s="22"/>
      <c r="F31" s="105" t="s">
        <v>263</v>
      </c>
      <c r="G31" s="105" t="s">
        <v>272</v>
      </c>
      <c r="H31" s="45"/>
      <c r="I31" s="19"/>
      <c r="J31" s="2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05"/>
      <c r="AB31" s="105"/>
      <c r="AC31" s="105"/>
      <c r="AD31" s="105"/>
      <c r="AE31" s="105"/>
      <c r="AF31" s="105"/>
      <c r="AG31" s="105"/>
      <c r="AH31" s="105"/>
    </row>
    <row r="32" spans="1:34" ht="22.5" hidden="1" customHeight="1">
      <c r="A32" s="245" t="s">
        <v>26</v>
      </c>
      <c r="B32" s="246"/>
      <c r="C32" s="6" t="s">
        <v>14</v>
      </c>
      <c r="D32" s="14">
        <f>+D33/D34*100</f>
        <v>631.7009150038258</v>
      </c>
      <c r="E32" s="18"/>
      <c r="F32" s="105"/>
      <c r="G32" s="105"/>
      <c r="H32" s="45"/>
      <c r="I32" s="19"/>
      <c r="J32" s="2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05"/>
      <c r="AB32" s="105"/>
      <c r="AC32" s="105"/>
      <c r="AD32" s="105"/>
      <c r="AE32" s="105"/>
      <c r="AF32" s="105"/>
      <c r="AG32" s="105"/>
      <c r="AH32" s="105"/>
    </row>
    <row r="33" spans="1:34" ht="22.5" hidden="1" customHeight="1">
      <c r="A33" s="245" t="s">
        <v>35</v>
      </c>
      <c r="B33" s="246"/>
      <c r="C33" s="6" t="s">
        <v>2</v>
      </c>
      <c r="D33" s="16">
        <f>+(D24*D30)</f>
        <v>16949.971058976029</v>
      </c>
      <c r="E33" s="23"/>
      <c r="F33" s="110" t="s">
        <v>148</v>
      </c>
      <c r="G33" s="45" t="str">
        <f>+IF(OR(C46&gt;150000,D46&gt;150000,E46&gt;150000,F46&gt;150000,G46&gt;150000,H46&gt;150000),"si","no")</f>
        <v>no</v>
      </c>
      <c r="H33" s="45"/>
      <c r="I33" s="19"/>
      <c r="J33" s="2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105"/>
      <c r="AB33" s="105"/>
      <c r="AC33" s="105"/>
      <c r="AD33" s="105"/>
      <c r="AE33" s="105"/>
      <c r="AF33" s="105"/>
      <c r="AG33" s="105"/>
      <c r="AH33" s="105"/>
    </row>
    <row r="34" spans="1:34" ht="22.5" hidden="1" customHeight="1">
      <c r="A34" s="245" t="s">
        <v>36</v>
      </c>
      <c r="B34" s="246"/>
      <c r="C34" s="6" t="s">
        <v>2</v>
      </c>
      <c r="D34" s="17">
        <f>+'dati impostazione'!D22*'Maschera di Calcolo'!D30</f>
        <v>2683.2272451075005</v>
      </c>
      <c r="E34" s="18"/>
      <c r="F34" s="45"/>
      <c r="G34" s="45"/>
      <c r="H34" s="45"/>
      <c r="I34" s="19"/>
      <c r="J34" s="2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05"/>
      <c r="AB34" s="105"/>
      <c r="AC34" s="105"/>
      <c r="AD34" s="105"/>
      <c r="AE34" s="105"/>
      <c r="AF34" s="105"/>
      <c r="AG34" s="105"/>
      <c r="AH34" s="105"/>
    </row>
    <row r="35" spans="1:34" ht="46.5" hidden="1" customHeight="1">
      <c r="A35" s="245" t="s">
        <v>37</v>
      </c>
      <c r="B35" s="246"/>
      <c r="C35" s="6" t="s">
        <v>2</v>
      </c>
      <c r="D35" s="14">
        <f>+D24*D30*0.7</f>
        <v>11864.979741283219</v>
      </c>
      <c r="E35" s="18"/>
      <c r="F35" s="18" t="s">
        <v>25</v>
      </c>
      <c r="G35" s="21" t="s">
        <v>44</v>
      </c>
      <c r="H35" s="18"/>
      <c r="I35" s="19"/>
      <c r="J35" s="2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05"/>
      <c r="AB35" s="105"/>
      <c r="AC35" s="105"/>
      <c r="AD35" s="105"/>
      <c r="AE35" s="105"/>
      <c r="AF35" s="105"/>
      <c r="AG35" s="105"/>
      <c r="AH35" s="105"/>
    </row>
    <row r="36" spans="1:34" ht="47.25" hidden="1" customHeight="1">
      <c r="A36" s="245" t="s">
        <v>28</v>
      </c>
      <c r="B36" s="246"/>
      <c r="C36" s="6" t="s">
        <v>2</v>
      </c>
      <c r="D36" s="14">
        <f>+(D34*0.9-D33)*(1/3)</f>
        <v>-4845.0221794597592</v>
      </c>
      <c r="E36" s="23"/>
      <c r="F36" s="18"/>
      <c r="G36" s="21" t="s">
        <v>45</v>
      </c>
      <c r="H36" s="18"/>
      <c r="I36" s="19"/>
      <c r="J36" s="2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105"/>
      <c r="AB36" s="105"/>
      <c r="AC36" s="105"/>
      <c r="AD36" s="105"/>
      <c r="AE36" s="105"/>
      <c r="AF36" s="105"/>
      <c r="AG36" s="105"/>
      <c r="AH36" s="105"/>
    </row>
    <row r="37" spans="1:34" ht="42.75" hidden="1" customHeight="1">
      <c r="A37" s="245" t="s">
        <v>31</v>
      </c>
      <c r="B37" s="246"/>
      <c r="C37" s="6" t="s">
        <v>2</v>
      </c>
      <c r="D37" s="14">
        <f>+D33+D36</f>
        <v>12104.948879516269</v>
      </c>
      <c r="E37" s="18"/>
      <c r="F37" s="18"/>
      <c r="G37" s="21" t="s">
        <v>30</v>
      </c>
      <c r="H37" s="18"/>
      <c r="I37" s="19"/>
      <c r="J37" s="2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05"/>
      <c r="AB37" s="105"/>
      <c r="AC37" s="105"/>
      <c r="AD37" s="105"/>
      <c r="AE37" s="105"/>
      <c r="AF37" s="105"/>
      <c r="AG37" s="105"/>
      <c r="AH37" s="105"/>
    </row>
    <row r="38" spans="1:34" ht="22.5" hidden="1" customHeight="1">
      <c r="A38" s="245" t="s">
        <v>32</v>
      </c>
      <c r="B38" s="246"/>
      <c r="C38" s="6" t="s">
        <v>14</v>
      </c>
      <c r="D38" s="14">
        <f>+(D37/D30)/'dati impostazione'!D22*100</f>
        <v>451.13394333588388</v>
      </c>
      <c r="E38" s="18"/>
      <c r="F38" s="18"/>
      <c r="G38" s="32" t="s">
        <v>54</v>
      </c>
      <c r="H38" s="18"/>
      <c r="I38" s="19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05"/>
      <c r="AB38" s="105"/>
      <c r="AC38" s="105"/>
      <c r="AD38" s="105"/>
      <c r="AE38" s="105"/>
      <c r="AF38" s="105"/>
      <c r="AG38" s="105"/>
      <c r="AH38" s="105"/>
    </row>
    <row r="39" spans="1:34" ht="22.5" hidden="1" customHeight="1">
      <c r="A39" s="245" t="s">
        <v>29</v>
      </c>
      <c r="B39" s="246"/>
      <c r="C39" s="6" t="s">
        <v>2</v>
      </c>
      <c r="D39" s="16">
        <f>+D34*0.6</f>
        <v>1609.9363470645003</v>
      </c>
      <c r="E39" s="18"/>
      <c r="F39" s="18"/>
      <c r="G39" s="21" t="s">
        <v>27</v>
      </c>
      <c r="H39" s="18"/>
      <c r="I39" s="19"/>
      <c r="J39" s="2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05"/>
      <c r="AB39" s="105"/>
      <c r="AC39" s="105"/>
      <c r="AD39" s="105"/>
      <c r="AE39" s="105"/>
      <c r="AF39" s="105"/>
      <c r="AG39" s="105"/>
      <c r="AH39" s="105"/>
    </row>
    <row r="40" spans="1:34" ht="42.75" hidden="1" customHeight="1">
      <c r="A40" s="245" t="s">
        <v>116</v>
      </c>
      <c r="B40" s="246"/>
      <c r="C40" s="6" t="s">
        <v>2</v>
      </c>
      <c r="D40" s="16">
        <f>+(C44-C45)/2</f>
        <v>7966.4863977187333</v>
      </c>
      <c r="E40" s="24"/>
      <c r="F40" s="18"/>
      <c r="G40" s="18"/>
      <c r="H40" s="18"/>
      <c r="I40" s="19"/>
      <c r="J40" s="25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05"/>
      <c r="AB40" s="105"/>
      <c r="AC40" s="105"/>
      <c r="AD40" s="105"/>
      <c r="AE40" s="105"/>
      <c r="AF40" s="105"/>
      <c r="AG40" s="105"/>
      <c r="AH40" s="105"/>
    </row>
    <row r="41" spans="1:34" hidden="1">
      <c r="A41" s="25"/>
      <c r="B41" s="18"/>
      <c r="C41" s="18"/>
      <c r="D41" s="18"/>
      <c r="E41" s="18"/>
      <c r="F41" s="18"/>
      <c r="G41" s="24"/>
      <c r="H41" s="18"/>
      <c r="I41" s="19"/>
      <c r="J41" s="2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05"/>
      <c r="AB41" s="105"/>
      <c r="AC41" s="105"/>
      <c r="AD41" s="105"/>
      <c r="AE41" s="105"/>
      <c r="AF41" s="105"/>
      <c r="AG41" s="105"/>
      <c r="AH41" s="105"/>
    </row>
    <row r="42" spans="1:34" ht="22.5" hidden="1" customHeight="1" thickBot="1">
      <c r="A42" s="269" t="s">
        <v>121</v>
      </c>
      <c r="B42" s="269"/>
      <c r="C42" s="18"/>
      <c r="D42" s="18"/>
      <c r="E42" s="18"/>
      <c r="F42" s="18"/>
      <c r="G42" s="24"/>
      <c r="H42" s="18"/>
      <c r="I42" s="19"/>
      <c r="J42" s="2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05"/>
      <c r="AB42" s="105"/>
      <c r="AC42" s="105"/>
      <c r="AD42" s="105"/>
      <c r="AE42" s="105"/>
      <c r="AF42" s="105"/>
      <c r="AG42" s="105"/>
      <c r="AH42" s="105"/>
    </row>
    <row r="43" spans="1:34" ht="21.95" hidden="1" customHeight="1" thickBot="1">
      <c r="A43" s="76" t="s">
        <v>1</v>
      </c>
      <c r="B43" s="77">
        <v>2014</v>
      </c>
      <c r="C43" s="78">
        <v>2015</v>
      </c>
      <c r="D43" s="78">
        <v>2016</v>
      </c>
      <c r="E43" s="78">
        <v>2017</v>
      </c>
      <c r="F43" s="78">
        <v>2018</v>
      </c>
      <c r="G43" s="78">
        <v>2019</v>
      </c>
      <c r="H43" s="79">
        <v>2020</v>
      </c>
      <c r="I43" s="19"/>
      <c r="J43" s="25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05"/>
      <c r="AB43" s="105"/>
      <c r="AC43" s="105"/>
      <c r="AD43" s="105"/>
      <c r="AE43" s="105"/>
      <c r="AF43" s="105"/>
      <c r="AG43" s="105"/>
      <c r="AH43" s="105"/>
    </row>
    <row r="44" spans="1:34" ht="26.1" hidden="1" customHeight="1">
      <c r="A44" s="131" t="s">
        <v>120</v>
      </c>
      <c r="B44" s="99"/>
      <c r="C44" s="99">
        <f>+IF($D$25=1,$D$35+(+$D$24*$D$30-$D$35)/5*4,IF($D$25=2,$D$34+($D$24*$D$30-$D$34)/5*4,IF($D$25=3,$D$33,IF($D$25=4,$D$33+$D$36/5*1,$D$33+($D$39-$D$33)/5*1))))</f>
        <v>15932.972795437467</v>
      </c>
      <c r="D44" s="99">
        <f>+IF($D$25=1,$D$35+(+$D$24*$D$30-$D$35)/5*3,IF($D$25=2,$D$34+($D$24*$D$30-$D$34)/5*3,IF($D$25=3,$D$33,IF($D$25=4,$D$33+$D$36/5*2,$D$33+($D$39-$D$33)/5*2))))</f>
        <v>14915.974531898904</v>
      </c>
      <c r="E44" s="99">
        <f>+IF($D$25=1,$D$35+(+$D$24*$D$30-$D$35)/5*2,IF($D$25=2,$D$34+($D$24*$D$30-$D$34)/5*2,IF($D$25=3,$D$33,IF($D$25=4,$D$33+$D$36/5*3,$D$33+($D$39-$D$33)/5*3))))</f>
        <v>13898.976268360344</v>
      </c>
      <c r="F44" s="99">
        <f>+IF($D$25=1,$D$35+(+$D$24*$D$30-$D$35)/5*1,IF($D$25=2,$D$34+($D$24*$D$30-$D$34)/5*1,IF($D$25=3,$D$33,IF($D$25=4,$D$33+$D$36/5*4,$D$33+($D$39-$D$33)/5*4))))</f>
        <v>12881.978004821782</v>
      </c>
      <c r="G44" s="99">
        <f>+IF($D$25=1,$D$35,IF($D$25=2,$D$34,IF($D$25=3,$D$33,IF($D$25=4,$D$33+$D$36,$D$39))))</f>
        <v>11864.979741283219</v>
      </c>
      <c r="H44" s="100">
        <f>+IF($D$25=1,$D$35,IF($D$25=2,$D$34,IF($D$25=3,$D$33,IF($D$25=4,$D$33+$D$36,$D$39))))</f>
        <v>11864.979741283219</v>
      </c>
      <c r="I44" s="19"/>
      <c r="J44" s="2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05"/>
      <c r="AB44" s="105"/>
      <c r="AC44" s="105"/>
      <c r="AD44" s="105"/>
      <c r="AE44" s="105"/>
      <c r="AF44" s="105"/>
      <c r="AG44" s="105"/>
      <c r="AH44" s="105"/>
    </row>
    <row r="45" spans="1:34" ht="26.1" hidden="1" customHeight="1">
      <c r="A45" s="132" t="s">
        <v>119</v>
      </c>
      <c r="B45" s="69"/>
      <c r="C45" s="69">
        <f t="shared" ref="C45:H45" si="0">+C44/$D6*$D19</f>
        <v>0</v>
      </c>
      <c r="D45" s="69">
        <f t="shared" si="0"/>
        <v>0</v>
      </c>
      <c r="E45" s="69">
        <f t="shared" si="0"/>
        <v>0</v>
      </c>
      <c r="F45" s="69">
        <f t="shared" si="0"/>
        <v>0</v>
      </c>
      <c r="G45" s="69">
        <f t="shared" si="0"/>
        <v>0</v>
      </c>
      <c r="H45" s="70">
        <f t="shared" si="0"/>
        <v>0</v>
      </c>
      <c r="I45" s="19"/>
      <c r="J45" s="2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05"/>
      <c r="AB45" s="105"/>
      <c r="AC45" s="105"/>
      <c r="AD45" s="105"/>
      <c r="AE45" s="105"/>
      <c r="AF45" s="105"/>
      <c r="AG45" s="105"/>
      <c r="AH45" s="105"/>
    </row>
    <row r="46" spans="1:34" ht="26.1" hidden="1" customHeight="1">
      <c r="A46" s="132" t="s">
        <v>123</v>
      </c>
      <c r="B46" s="69"/>
      <c r="C46" s="69">
        <f t="shared" ref="C46:H46" si="1">+IF($D19="",C44,IF(OR(AND($D19&lt;$D6,$D40&gt;1000,$D21="Si"),AND($D19&lt;$D6,$D21="No")),(C44-C45)/2+C45,C44))</f>
        <v>15932.972795437467</v>
      </c>
      <c r="D46" s="69">
        <f t="shared" si="1"/>
        <v>14915.974531898904</v>
      </c>
      <c r="E46" s="69">
        <f t="shared" si="1"/>
        <v>13898.976268360344</v>
      </c>
      <c r="F46" s="69">
        <f t="shared" si="1"/>
        <v>12881.978004821782</v>
      </c>
      <c r="G46" s="69">
        <f t="shared" si="1"/>
        <v>11864.979741283219</v>
      </c>
      <c r="H46" s="70">
        <f t="shared" si="1"/>
        <v>11864.979741283219</v>
      </c>
      <c r="I46" s="19"/>
      <c r="J46" s="2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9"/>
      <c r="AA46" s="105"/>
      <c r="AB46" s="105"/>
      <c r="AC46" s="105"/>
      <c r="AD46" s="105"/>
      <c r="AE46" s="105"/>
      <c r="AF46" s="105"/>
      <c r="AG46" s="105"/>
      <c r="AH46" s="105"/>
    </row>
    <row r="47" spans="1:34" ht="26.1" hidden="1" customHeight="1">
      <c r="A47" s="132" t="s">
        <v>138</v>
      </c>
      <c r="B47" s="69"/>
      <c r="C47" s="69">
        <f t="shared" ref="C47:H47" si="2">+IF(C46&gt;(150000+$D22),((C46-(150000+$D22))/2+(150000+$D22)),C46)</f>
        <v>15932.972795437467</v>
      </c>
      <c r="D47" s="69">
        <f t="shared" si="2"/>
        <v>14915.974531898904</v>
      </c>
      <c r="E47" s="69">
        <f t="shared" si="2"/>
        <v>13898.976268360344</v>
      </c>
      <c r="F47" s="69">
        <f t="shared" si="2"/>
        <v>12881.978004821782</v>
      </c>
      <c r="G47" s="69">
        <f t="shared" si="2"/>
        <v>11864.979741283219</v>
      </c>
      <c r="H47" s="70">
        <f t="shared" si="2"/>
        <v>11864.979741283219</v>
      </c>
      <c r="I47" s="19"/>
      <c r="J47" s="25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105"/>
      <c r="AB47" s="105"/>
      <c r="AC47" s="105"/>
      <c r="AD47" s="105"/>
      <c r="AE47" s="105"/>
      <c r="AF47" s="105"/>
      <c r="AG47" s="105"/>
      <c r="AH47" s="105"/>
    </row>
    <row r="48" spans="1:34" ht="26.1" hidden="1" customHeight="1" thickBot="1">
      <c r="A48" s="133" t="s">
        <v>139</v>
      </c>
      <c r="B48" s="134"/>
      <c r="C48" s="134">
        <f t="shared" ref="C48:H48" si="3">+IF(C46=C47,$D22-(C47-150000),0)</f>
        <v>134067.02720456253</v>
      </c>
      <c r="D48" s="134">
        <f t="shared" si="3"/>
        <v>135084.02546810108</v>
      </c>
      <c r="E48" s="134">
        <f t="shared" si="3"/>
        <v>136101.02373163967</v>
      </c>
      <c r="F48" s="134">
        <f t="shared" si="3"/>
        <v>137118.02199517822</v>
      </c>
      <c r="G48" s="134">
        <f t="shared" si="3"/>
        <v>138135.02025871677</v>
      </c>
      <c r="H48" s="135">
        <f t="shared" si="3"/>
        <v>138135.02025871677</v>
      </c>
      <c r="I48" s="19"/>
      <c r="J48" s="2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05"/>
      <c r="AB48" s="105"/>
      <c r="AC48" s="105"/>
      <c r="AD48" s="105"/>
      <c r="AE48" s="105"/>
      <c r="AF48" s="105"/>
      <c r="AG48" s="105"/>
      <c r="AH48" s="105"/>
    </row>
    <row r="49" spans="1:34" ht="26.1" hidden="1" customHeight="1" thickBot="1">
      <c r="A49" s="136" t="s">
        <v>7</v>
      </c>
      <c r="B49" s="137">
        <f>+IF(D12&gt;2000,D5-D13*(1-D9),D5)</f>
        <v>29635.380079999999</v>
      </c>
      <c r="C49" s="138">
        <f t="shared" ref="C49:H49" si="4">+IF(C47&gt;(500000+C48),(500000+C48),C47)</f>
        <v>15932.972795437467</v>
      </c>
      <c r="D49" s="138">
        <f t="shared" si="4"/>
        <v>14915.974531898904</v>
      </c>
      <c r="E49" s="138">
        <f t="shared" si="4"/>
        <v>13898.976268360344</v>
      </c>
      <c r="F49" s="138">
        <f t="shared" si="4"/>
        <v>12881.978004821782</v>
      </c>
      <c r="G49" s="138">
        <f t="shared" si="4"/>
        <v>11864.979741283219</v>
      </c>
      <c r="H49" s="139">
        <f t="shared" si="4"/>
        <v>11864.979741283219</v>
      </c>
      <c r="I49" s="19"/>
      <c r="J49" s="2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05"/>
      <c r="AB49" s="105"/>
      <c r="AC49" s="105"/>
      <c r="AD49" s="105"/>
      <c r="AE49" s="105"/>
      <c r="AF49" s="105"/>
      <c r="AG49" s="105"/>
      <c r="AH49" s="105"/>
    </row>
    <row r="50" spans="1:34" ht="26.1" hidden="1" customHeight="1" thickBot="1">
      <c r="A50" s="140" t="s">
        <v>0</v>
      </c>
      <c r="B50" s="141">
        <v>0</v>
      </c>
      <c r="C50" s="141">
        <f t="shared" ref="C50:H50" si="5">+C46*0.3/$D23</f>
        <v>8357.177182559999</v>
      </c>
      <c r="D50" s="141">
        <f t="shared" si="5"/>
        <v>7823.7403411199994</v>
      </c>
      <c r="E50" s="141">
        <f t="shared" si="5"/>
        <v>7290.3034996800006</v>
      </c>
      <c r="F50" s="141">
        <f t="shared" si="5"/>
        <v>6756.8666582399992</v>
      </c>
      <c r="G50" s="141">
        <f t="shared" si="5"/>
        <v>6223.4298167999996</v>
      </c>
      <c r="H50" s="142">
        <f t="shared" si="5"/>
        <v>6223.4298167999996</v>
      </c>
      <c r="I50" s="19"/>
      <c r="J50" s="25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A50" s="105"/>
      <c r="AB50" s="105"/>
      <c r="AC50" s="105"/>
      <c r="AD50" s="105"/>
      <c r="AE50" s="105"/>
      <c r="AF50" s="105"/>
      <c r="AG50" s="105"/>
      <c r="AH50" s="105"/>
    </row>
    <row r="51" spans="1:34" ht="15" customHeight="1" thickBot="1">
      <c r="A51" s="71"/>
      <c r="B51" s="18"/>
      <c r="C51" s="18"/>
      <c r="D51" s="18"/>
      <c r="E51" s="18"/>
      <c r="F51" s="18"/>
      <c r="G51" s="18"/>
      <c r="H51" s="18"/>
      <c r="I51" s="19"/>
      <c r="J51" s="2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  <c r="AA51" s="105"/>
      <c r="AB51" s="105"/>
      <c r="AC51" s="105"/>
      <c r="AD51" s="105"/>
      <c r="AE51" s="105"/>
      <c r="AF51" s="105"/>
      <c r="AG51" s="105"/>
      <c r="AH51" s="105"/>
    </row>
    <row r="52" spans="1:34" ht="26.1" customHeight="1">
      <c r="A52" s="87" t="s">
        <v>1</v>
      </c>
      <c r="B52" s="85">
        <v>2014</v>
      </c>
      <c r="C52" s="80">
        <v>2015</v>
      </c>
      <c r="D52" s="80">
        <v>2016</v>
      </c>
      <c r="E52" s="80">
        <v>2017</v>
      </c>
      <c r="F52" s="80">
        <v>2018</v>
      </c>
      <c r="G52" s="80">
        <v>2019</v>
      </c>
      <c r="H52" s="81">
        <v>2020</v>
      </c>
      <c r="I52" s="19"/>
      <c r="J52" s="2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  <c r="AA52" s="105"/>
      <c r="AB52" s="105"/>
      <c r="AC52" s="105"/>
      <c r="AD52" s="105"/>
      <c r="AE52" s="105"/>
      <c r="AF52" s="105"/>
      <c r="AG52" s="105"/>
      <c r="AH52" s="105"/>
    </row>
    <row r="53" spans="1:34" ht="26.1" customHeight="1" thickBot="1">
      <c r="A53" s="88"/>
      <c r="B53" s="86" t="s">
        <v>2</v>
      </c>
      <c r="C53" s="82" t="s">
        <v>2</v>
      </c>
      <c r="D53" s="82" t="s">
        <v>2</v>
      </c>
      <c r="E53" s="82" t="s">
        <v>2</v>
      </c>
      <c r="F53" s="82" t="s">
        <v>2</v>
      </c>
      <c r="G53" s="82" t="s">
        <v>2</v>
      </c>
      <c r="H53" s="83" t="s">
        <v>2</v>
      </c>
      <c r="I53" s="19"/>
      <c r="J53" s="25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9"/>
      <c r="AA53" s="105"/>
      <c r="AB53" s="105"/>
      <c r="AC53" s="105"/>
      <c r="AD53" s="105"/>
      <c r="AE53" s="105"/>
      <c r="AF53" s="105"/>
      <c r="AG53" s="105"/>
      <c r="AH53" s="105"/>
    </row>
    <row r="54" spans="1:34" ht="26.1" customHeight="1">
      <c r="A54" s="89" t="s">
        <v>7</v>
      </c>
      <c r="B54" s="143">
        <f>+B49</f>
        <v>29635.380079999999</v>
      </c>
      <c r="C54" s="144">
        <f>+C49</f>
        <v>15932.972795437467</v>
      </c>
      <c r="D54" s="144">
        <f>+D49</f>
        <v>14915.974531898904</v>
      </c>
      <c r="E54" s="145">
        <f>+IF(OR($G30="",$G31="Si"),E49,E49-E80)</f>
        <v>13898.976268360344</v>
      </c>
      <c r="F54" s="145">
        <f>+IF(OR($G30="",$G31="Si"),F49,F49-F80)</f>
        <v>12881.978004821782</v>
      </c>
      <c r="G54" s="145">
        <f>+IF(OR($G30="",$G31="Si"),G49,G49-G80)</f>
        <v>11864.979741283219</v>
      </c>
      <c r="H54" s="146">
        <f>+IF(OR($G30="",$G31="Si"),H49,H49-H80)</f>
        <v>11864.979741283219</v>
      </c>
      <c r="I54" s="19"/>
      <c r="J54" s="2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05"/>
      <c r="AB54" s="105"/>
      <c r="AC54" s="105"/>
      <c r="AD54" s="105"/>
      <c r="AE54" s="105"/>
      <c r="AF54" s="105"/>
      <c r="AG54" s="105"/>
      <c r="AH54" s="105"/>
    </row>
    <row r="55" spans="1:34" ht="26.1" customHeight="1">
      <c r="A55" s="2" t="s">
        <v>0</v>
      </c>
      <c r="B55" s="90">
        <v>0</v>
      </c>
      <c r="C55" s="3">
        <f t="shared" ref="C55:H55" si="6">+IF(AND($G30="Si",$G$31="No"),C50/$D30*C79,C50)</f>
        <v>8357.177182559999</v>
      </c>
      <c r="D55" s="3">
        <f t="shared" si="6"/>
        <v>7823.7403411199994</v>
      </c>
      <c r="E55" s="3">
        <f t="shared" si="6"/>
        <v>7290.3034996800006</v>
      </c>
      <c r="F55" s="3">
        <f t="shared" si="6"/>
        <v>6756.8666582399992</v>
      </c>
      <c r="G55" s="3">
        <f t="shared" si="6"/>
        <v>6223.4298167999996</v>
      </c>
      <c r="H55" s="7">
        <f t="shared" si="6"/>
        <v>6223.4298167999996</v>
      </c>
      <c r="I55" s="19"/>
      <c r="J55" s="2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9"/>
      <c r="AA55" s="105"/>
      <c r="AB55" s="105"/>
      <c r="AC55" s="105"/>
      <c r="AD55" s="105"/>
      <c r="AE55" s="105"/>
      <c r="AF55" s="105"/>
      <c r="AG55" s="105"/>
      <c r="AH55" s="105"/>
    </row>
    <row r="56" spans="1:34" ht="26.1" customHeight="1">
      <c r="A56" s="35" t="s">
        <v>9</v>
      </c>
      <c r="B56" s="91">
        <v>0</v>
      </c>
      <c r="C56" s="36">
        <f>+IF(AND($D$10="si",OR($D$11=2011,$D$11=2012,$D$11=2013,$D$11=2014,$D$11=2015)),IF($D$30&lt;90,C$46*0.25,C$46/$D30*90*0.25),0)</f>
        <v>0</v>
      </c>
      <c r="D56" s="36">
        <f>+IF(AND($D$10="si",OR($D$11=2012,$D$11=2013,$D$11=2014,$D$11=2015,$D$11="dal 2016")),IF($D$30&lt;90,D46*0.25,D46/D30*90*0.25),0)</f>
        <v>0</v>
      </c>
      <c r="E56" s="36">
        <f>+IF(AND($D$10="si",OR(D11=2013,D11=2014,D11=2015,D11="dal 2016")),IF($D$30&lt;90,E46*0.25,E46/D30*90*0.25),0)</f>
        <v>0</v>
      </c>
      <c r="F56" s="36">
        <f>+IF(AND($D$10="si",OR(D11=2014,D11=2015,D11="dal 2016")),IF($D$30&lt;90,F46*0.25,F46/D30*90*0.25),0)</f>
        <v>0</v>
      </c>
      <c r="G56" s="36">
        <f>+IF(AND($D$10="si",OR(D11=2015,D11="dal 2016")),IF($D$30&lt;90,G46*0.25,G46/D30*90*0.25),0)</f>
        <v>0</v>
      </c>
      <c r="H56" s="84">
        <f>+IF(AND($D$10="si",D11="dal 2016"),IF($D$30&lt;90,H46*0.25,H46/D30*90*0.25),0)</f>
        <v>0</v>
      </c>
      <c r="I56" s="19"/>
      <c r="J56" s="2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  <c r="AA56" s="105"/>
      <c r="AB56" s="105"/>
      <c r="AC56" s="105"/>
      <c r="AD56" s="105"/>
      <c r="AE56" s="105"/>
      <c r="AF56" s="105"/>
      <c r="AG56" s="105"/>
      <c r="AH56" s="105"/>
    </row>
    <row r="57" spans="1:34" ht="26.1" customHeight="1" thickBot="1">
      <c r="A57" s="33" t="s">
        <v>8</v>
      </c>
      <c r="B57" s="124">
        <f>+IF(D12&gt;2000,D8-D13*D9,D8)</f>
        <v>0</v>
      </c>
      <c r="C57" s="34">
        <f t="shared" ref="C57:H57" si="7">+$D18</f>
        <v>0</v>
      </c>
      <c r="D57" s="34">
        <f t="shared" si="7"/>
        <v>0</v>
      </c>
      <c r="E57" s="34">
        <f t="shared" si="7"/>
        <v>0</v>
      </c>
      <c r="F57" s="34">
        <f t="shared" si="7"/>
        <v>0</v>
      </c>
      <c r="G57" s="34">
        <f t="shared" si="7"/>
        <v>0</v>
      </c>
      <c r="H57" s="62">
        <f t="shared" si="7"/>
        <v>0</v>
      </c>
      <c r="I57" s="19"/>
      <c r="J57" s="2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05"/>
      <c r="AB57" s="105"/>
      <c r="AC57" s="105"/>
      <c r="AD57" s="105"/>
      <c r="AE57" s="105"/>
      <c r="AF57" s="105"/>
      <c r="AG57" s="105"/>
      <c r="AH57" s="105"/>
    </row>
    <row r="58" spans="1:34" ht="26.1" customHeight="1" thickBot="1">
      <c r="A58" s="68" t="s">
        <v>4</v>
      </c>
      <c r="B58" s="92">
        <f t="shared" ref="B58:H58" si="8">SUM(B54:B57)</f>
        <v>29635.380079999999</v>
      </c>
      <c r="C58" s="92">
        <f t="shared" si="8"/>
        <v>24290.149977997466</v>
      </c>
      <c r="D58" s="92">
        <f t="shared" si="8"/>
        <v>22739.714873018904</v>
      </c>
      <c r="E58" s="92">
        <f t="shared" si="8"/>
        <v>21189.279768040346</v>
      </c>
      <c r="F58" s="92">
        <f t="shared" si="8"/>
        <v>19638.84466306178</v>
      </c>
      <c r="G58" s="92">
        <f t="shared" si="8"/>
        <v>18088.409558083218</v>
      </c>
      <c r="H58" s="125">
        <f t="shared" si="8"/>
        <v>18088.409558083218</v>
      </c>
      <c r="I58" s="19"/>
      <c r="J58" s="2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9"/>
      <c r="AA58" s="105"/>
      <c r="AB58" s="105"/>
      <c r="AC58" s="105"/>
      <c r="AD58" s="105"/>
      <c r="AE58" s="105"/>
      <c r="AF58" s="105"/>
      <c r="AG58" s="105"/>
      <c r="AH58" s="105"/>
    </row>
    <row r="59" spans="1:34" ht="26.1" customHeight="1" thickBot="1">
      <c r="A59" s="4" t="s">
        <v>53</v>
      </c>
      <c r="B59" s="93"/>
      <c r="C59" s="5">
        <f t="shared" ref="C59:H59" si="9">+IF($B$58=0,"n.d.",(C58-$B58)/$B58)</f>
        <v>-0.18036651082500757</v>
      </c>
      <c r="D59" s="5">
        <f t="shared" si="9"/>
        <v>-0.23268354204894326</v>
      </c>
      <c r="E59" s="5">
        <f t="shared" si="9"/>
        <v>-0.28500057327287881</v>
      </c>
      <c r="F59" s="5">
        <f t="shared" si="9"/>
        <v>-0.33731760449681464</v>
      </c>
      <c r="G59" s="5">
        <f t="shared" si="9"/>
        <v>-0.38963463572075036</v>
      </c>
      <c r="H59" s="67">
        <f t="shared" si="9"/>
        <v>-0.38963463572075036</v>
      </c>
      <c r="I59" s="19"/>
      <c r="J59" s="2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  <c r="AA59" s="105"/>
      <c r="AB59" s="105"/>
      <c r="AC59" s="105"/>
      <c r="AD59" s="105"/>
      <c r="AE59" s="105"/>
      <c r="AF59" s="105"/>
      <c r="AG59" s="105"/>
      <c r="AH59" s="105"/>
    </row>
    <row r="60" spans="1:34" ht="26.1" customHeight="1" thickBot="1">
      <c r="A60" s="267" t="s">
        <v>136</v>
      </c>
      <c r="B60" s="268"/>
      <c r="C60" s="103">
        <f t="shared" ref="C60:H60" si="10">+C72</f>
        <v>-12145.074988998733</v>
      </c>
      <c r="D60" s="97">
        <f t="shared" si="10"/>
        <v>-11369.857436509452</v>
      </c>
      <c r="E60" s="97">
        <f t="shared" si="10"/>
        <v>-10594.639884020173</v>
      </c>
      <c r="F60" s="97">
        <f t="shared" si="10"/>
        <v>-9819.42233153089</v>
      </c>
      <c r="G60" s="97">
        <f t="shared" si="10"/>
        <v>-9044.2047790416091</v>
      </c>
      <c r="H60" s="98">
        <f t="shared" si="10"/>
        <v>-9044.2047790416091</v>
      </c>
      <c r="I60" s="19"/>
      <c r="J60" s="2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9"/>
      <c r="AA60" s="105"/>
      <c r="AB60" s="105"/>
      <c r="AC60" s="105"/>
      <c r="AD60" s="105"/>
      <c r="AE60" s="105"/>
      <c r="AF60" s="105"/>
      <c r="AG60" s="105"/>
      <c r="AH60" s="105"/>
    </row>
    <row r="61" spans="1:34" ht="26.1" customHeight="1" thickBot="1">
      <c r="A61" s="270" t="s">
        <v>147</v>
      </c>
      <c r="B61" s="271"/>
      <c r="C61" s="199">
        <f t="shared" ref="C61:H61" si="11">+(C46-C49)*-1</f>
        <v>0</v>
      </c>
      <c r="D61" s="200">
        <f t="shared" si="11"/>
        <v>0</v>
      </c>
      <c r="E61" s="200">
        <f t="shared" si="11"/>
        <v>0</v>
      </c>
      <c r="F61" s="200">
        <f t="shared" si="11"/>
        <v>0</v>
      </c>
      <c r="G61" s="200">
        <f t="shared" si="11"/>
        <v>0</v>
      </c>
      <c r="H61" s="201">
        <f t="shared" si="11"/>
        <v>0</v>
      </c>
      <c r="I61" s="102"/>
      <c r="J61" s="2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9"/>
      <c r="AA61" s="105"/>
      <c r="AB61" s="105"/>
      <c r="AC61" s="105"/>
      <c r="AD61" s="105"/>
      <c r="AE61" s="105"/>
      <c r="AF61" s="105"/>
      <c r="AG61" s="105"/>
      <c r="AH61" s="105"/>
    </row>
    <row r="62" spans="1:34" ht="26.1" customHeight="1" thickBot="1">
      <c r="A62" s="267" t="s">
        <v>146</v>
      </c>
      <c r="B62" s="272"/>
      <c r="C62" s="212">
        <f>+C50-C55</f>
        <v>0</v>
      </c>
      <c r="D62" s="212">
        <f>+D50-D55</f>
        <v>0</v>
      </c>
      <c r="E62" s="212">
        <f>+(E49+E50)-(E54+E55)</f>
        <v>0</v>
      </c>
      <c r="F62" s="212">
        <f>+(F49+F50)-(F54+F55)</f>
        <v>0</v>
      </c>
      <c r="G62" s="212">
        <f>+(G49+G50)-(G54+G55)</f>
        <v>0</v>
      </c>
      <c r="H62" s="213">
        <f>+(H49+H50)-(H54+H55)</f>
        <v>0</v>
      </c>
      <c r="I62" s="102"/>
      <c r="J62" s="2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05"/>
      <c r="AB62" s="105"/>
      <c r="AC62" s="105"/>
      <c r="AD62" s="105"/>
      <c r="AE62" s="105"/>
      <c r="AF62" s="105"/>
      <c r="AG62" s="105"/>
      <c r="AH62" s="105"/>
    </row>
    <row r="63" spans="1:34" ht="11.25" customHeight="1" thickBot="1">
      <c r="A63" s="27"/>
      <c r="B63" s="28"/>
      <c r="C63" s="28"/>
      <c r="D63" s="28"/>
      <c r="E63" s="28"/>
      <c r="F63" s="28"/>
      <c r="G63" s="28"/>
      <c r="H63" s="28"/>
      <c r="I63" s="26"/>
      <c r="J63" s="27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6"/>
      <c r="AA63" s="105"/>
      <c r="AB63" s="105"/>
      <c r="AC63" s="105"/>
      <c r="AD63" s="105"/>
      <c r="AE63" s="105"/>
      <c r="AF63" s="105"/>
      <c r="AG63" s="105"/>
      <c r="AH63" s="105"/>
    </row>
    <row r="64" spans="1:34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5"/>
      <c r="AB64" s="105"/>
      <c r="AC64" s="105"/>
      <c r="AD64" s="105"/>
      <c r="AE64" s="105"/>
      <c r="AF64" s="105"/>
      <c r="AG64" s="105"/>
      <c r="AH64" s="105"/>
    </row>
    <row r="65" spans="1:34" ht="18" hidden="1">
      <c r="A65" s="107" t="s">
        <v>137</v>
      </c>
      <c r="B65" s="108"/>
      <c r="C65" s="109">
        <f t="shared" ref="C65:H65" si="12">+IF(AND($D$10="si",OR($D$11=2011,$D$11=2012,$D$11=2013,$D$11=2014,$D$11=2015)),IF($D$6&lt;90,C$44*0.25,C$44/$D6*90*0.25),0)</f>
        <v>0</v>
      </c>
      <c r="D65" s="109">
        <f t="shared" si="12"/>
        <v>0</v>
      </c>
      <c r="E65" s="109">
        <f t="shared" si="12"/>
        <v>0</v>
      </c>
      <c r="F65" s="109">
        <f t="shared" si="12"/>
        <v>0</v>
      </c>
      <c r="G65" s="109">
        <f t="shared" si="12"/>
        <v>0</v>
      </c>
      <c r="H65" s="109">
        <f t="shared" si="12"/>
        <v>0</v>
      </c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5"/>
      <c r="AB65" s="105"/>
      <c r="AC65" s="105"/>
      <c r="AD65" s="105"/>
      <c r="AE65" s="105"/>
      <c r="AF65" s="105"/>
      <c r="AG65" s="105"/>
      <c r="AH65" s="105"/>
    </row>
    <row r="66" spans="1:34" hidden="1">
      <c r="A66" s="110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:34" ht="18" hidden="1">
      <c r="A67" s="266" t="s">
        <v>134</v>
      </c>
      <c r="B67" s="266"/>
      <c r="C67" s="266"/>
      <c r="D67" s="266"/>
      <c r="E67" s="266"/>
      <c r="F67" s="266"/>
      <c r="G67" s="266"/>
      <c r="H67" s="26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:34" ht="18.75" hidden="1" thickBot="1">
      <c r="A68" s="231" t="s">
        <v>259</v>
      </c>
      <c r="B68" s="232"/>
      <c r="C68" s="111">
        <v>2015</v>
      </c>
      <c r="D68" s="111">
        <v>2016</v>
      </c>
      <c r="E68" s="111">
        <v>2017</v>
      </c>
      <c r="F68" s="111">
        <v>2018</v>
      </c>
      <c r="G68" s="111">
        <v>2019</v>
      </c>
      <c r="H68" s="111">
        <v>2020</v>
      </c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:34" ht="18" hidden="1">
      <c r="A69" s="231" t="s">
        <v>132</v>
      </c>
      <c r="B69" s="232"/>
      <c r="C69" s="109">
        <f t="shared" ref="C69:H69" si="13">+(C45-C44)/2</f>
        <v>-7966.4863977187333</v>
      </c>
      <c r="D69" s="109">
        <f t="shared" si="13"/>
        <v>-7457.9872659494522</v>
      </c>
      <c r="E69" s="109">
        <f t="shared" si="13"/>
        <v>-6949.488134180172</v>
      </c>
      <c r="F69" s="109">
        <f t="shared" si="13"/>
        <v>-6440.9890024108909</v>
      </c>
      <c r="G69" s="109">
        <f t="shared" si="13"/>
        <v>-5932.4898706416097</v>
      </c>
      <c r="H69" s="109">
        <f t="shared" si="13"/>
        <v>-5932.4898706416097</v>
      </c>
      <c r="I69" s="105"/>
      <c r="J69" s="112" t="s">
        <v>118</v>
      </c>
      <c r="K69" s="113"/>
      <c r="L69" s="113"/>
      <c r="M69" s="113"/>
      <c r="N69" s="113"/>
      <c r="O69" s="114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:34" ht="18" hidden="1">
      <c r="A70" s="231" t="s">
        <v>133</v>
      </c>
      <c r="B70" s="232"/>
      <c r="C70" s="109">
        <f t="shared" ref="C70:H70" si="14">+C69*0.3/$D$23</f>
        <v>-4178.5885912799995</v>
      </c>
      <c r="D70" s="109">
        <f t="shared" si="14"/>
        <v>-3911.8701705599997</v>
      </c>
      <c r="E70" s="109">
        <f t="shared" si="14"/>
        <v>-3645.1517498400003</v>
      </c>
      <c r="F70" s="109">
        <f t="shared" si="14"/>
        <v>-3378.4333291199996</v>
      </c>
      <c r="G70" s="109">
        <f t="shared" si="14"/>
        <v>-3111.7149083999998</v>
      </c>
      <c r="H70" s="109">
        <f t="shared" si="14"/>
        <v>-3111.7149083999998</v>
      </c>
      <c r="I70" s="105"/>
      <c r="J70" s="115"/>
      <c r="K70" s="106"/>
      <c r="L70" s="106"/>
      <c r="M70" s="106"/>
      <c r="N70" s="106"/>
      <c r="O70" s="102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:34" ht="18" hidden="1">
      <c r="A71" s="231" t="s">
        <v>9</v>
      </c>
      <c r="B71" s="232"/>
      <c r="C71" s="109">
        <f t="shared" ref="C71:H71" si="15">+(C56-C65)/2</f>
        <v>0</v>
      </c>
      <c r="D71" s="109">
        <f t="shared" si="15"/>
        <v>0</v>
      </c>
      <c r="E71" s="109">
        <f t="shared" si="15"/>
        <v>0</v>
      </c>
      <c r="F71" s="109">
        <f t="shared" si="15"/>
        <v>0</v>
      </c>
      <c r="G71" s="109">
        <f t="shared" si="15"/>
        <v>0</v>
      </c>
      <c r="H71" s="109">
        <f t="shared" si="15"/>
        <v>0</v>
      </c>
      <c r="I71" s="105"/>
      <c r="J71" s="115"/>
      <c r="K71" s="106"/>
      <c r="L71" s="106" t="s">
        <v>41</v>
      </c>
      <c r="M71" s="106" t="s">
        <v>49</v>
      </c>
      <c r="N71" s="106" t="s">
        <v>50</v>
      </c>
      <c r="O71" s="102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  <row r="72" spans="1:34" ht="18.75" hidden="1">
      <c r="A72" s="238" t="s">
        <v>135</v>
      </c>
      <c r="B72" s="239"/>
      <c r="C72" s="116">
        <f t="shared" ref="C72:H72" si="16">SUM(C69:C71)</f>
        <v>-12145.074988998733</v>
      </c>
      <c r="D72" s="116">
        <f t="shared" si="16"/>
        <v>-11369.857436509452</v>
      </c>
      <c r="E72" s="116">
        <f t="shared" si="16"/>
        <v>-10594.639884020173</v>
      </c>
      <c r="F72" s="116">
        <f t="shared" si="16"/>
        <v>-9819.42233153089</v>
      </c>
      <c r="G72" s="116">
        <f t="shared" si="16"/>
        <v>-9044.2047790416091</v>
      </c>
      <c r="H72" s="116">
        <f t="shared" si="16"/>
        <v>-9044.2047790416091</v>
      </c>
      <c r="I72" s="105"/>
      <c r="J72" s="115"/>
      <c r="K72" s="106"/>
      <c r="L72" s="106"/>
      <c r="M72" s="106"/>
      <c r="N72" s="106"/>
      <c r="O72" s="102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</row>
    <row r="73" spans="1:34" hidden="1">
      <c r="A73" s="105"/>
      <c r="B73" s="105"/>
      <c r="C73" s="105"/>
      <c r="D73" s="105"/>
      <c r="E73" s="105"/>
      <c r="F73" s="105"/>
      <c r="G73" s="105"/>
      <c r="H73" s="105"/>
      <c r="I73" s="105"/>
      <c r="J73" s="115"/>
      <c r="K73" s="106"/>
      <c r="L73" s="117"/>
      <c r="M73" s="118" t="s">
        <v>60</v>
      </c>
      <c r="N73" s="106"/>
      <c r="O73" s="102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1:34" ht="19.5" hidden="1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15"/>
      <c r="K74" s="106"/>
      <c r="L74" s="106"/>
      <c r="M74" s="106">
        <v>2011</v>
      </c>
      <c r="N74" s="106"/>
      <c r="O74" s="102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1:34" hidden="1">
      <c r="A75" s="105"/>
      <c r="B75" s="105"/>
      <c r="C75" s="105"/>
      <c r="D75" s="105"/>
      <c r="E75" s="105"/>
      <c r="F75" s="105"/>
      <c r="G75" s="105"/>
      <c r="H75" s="105"/>
      <c r="I75" s="105"/>
      <c r="J75" s="115"/>
      <c r="K75" s="106"/>
      <c r="L75" s="106"/>
      <c r="M75" s="106">
        <v>2012</v>
      </c>
      <c r="N75" s="106"/>
      <c r="O75" s="102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  <row r="76" spans="1:34" hidden="1">
      <c r="A76" s="105"/>
      <c r="B76" s="105"/>
      <c r="C76" s="105"/>
      <c r="D76" s="105"/>
      <c r="E76" s="105"/>
      <c r="F76" s="105"/>
      <c r="G76" s="105"/>
      <c r="H76" s="105"/>
      <c r="I76" s="105"/>
      <c r="J76" s="115"/>
      <c r="K76" s="106"/>
      <c r="L76" s="106"/>
      <c r="M76" s="106">
        <v>2013</v>
      </c>
      <c r="N76" s="106"/>
      <c r="O76" s="102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</row>
    <row r="77" spans="1:34" ht="21" hidden="1" customHeight="1">
      <c r="A77" s="235" t="s">
        <v>260</v>
      </c>
      <c r="B77" s="235"/>
      <c r="C77" s="111">
        <v>2015</v>
      </c>
      <c r="D77" s="111">
        <v>2016</v>
      </c>
      <c r="E77" s="111">
        <v>2017</v>
      </c>
      <c r="F77" s="111">
        <v>2018</v>
      </c>
      <c r="G77" s="111">
        <v>2019</v>
      </c>
      <c r="H77" s="111">
        <v>2020</v>
      </c>
      <c r="I77" s="105"/>
      <c r="J77" s="115"/>
      <c r="K77" s="106"/>
      <c r="L77" s="106"/>
      <c r="M77" s="119">
        <v>2014</v>
      </c>
      <c r="N77" s="106"/>
      <c r="O77" s="102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</row>
    <row r="78" spans="1:34" ht="21" hidden="1" customHeight="1">
      <c r="A78" s="236" t="s">
        <v>266</v>
      </c>
      <c r="B78" s="236"/>
      <c r="C78" s="209" t="e">
        <f>IF($G31="No",'Maschera di Calcolo'!$D30,Diversificazione!$C80)</f>
        <v>#DIV/0!</v>
      </c>
      <c r="D78" s="209" t="e">
        <f>IF($G31="No",'Maschera di Calcolo'!$D30,Diversificazione!$C80)</f>
        <v>#DIV/0!</v>
      </c>
      <c r="E78" s="209" t="e">
        <f>IF($G31="No",'Maschera di Calcolo'!$D30,Diversificazione!$C80)</f>
        <v>#DIV/0!</v>
      </c>
      <c r="F78" s="209" t="e">
        <f>IF($G31="No",'Maschera di Calcolo'!$D30,Diversificazione!$C80)</f>
        <v>#DIV/0!</v>
      </c>
      <c r="G78" s="209" t="e">
        <f>IF($G31="No",'Maschera di Calcolo'!$D30,Diversificazione!$C80)</f>
        <v>#DIV/0!</v>
      </c>
      <c r="H78" s="209" t="e">
        <f>IF($G31="No",'Maschera di Calcolo'!$D30,Diversificazione!$C80)</f>
        <v>#DIV/0!</v>
      </c>
      <c r="I78" s="105"/>
      <c r="J78" s="115"/>
      <c r="K78" s="106"/>
      <c r="L78" s="106"/>
      <c r="M78" s="119">
        <v>2015</v>
      </c>
      <c r="N78" s="106"/>
      <c r="O78" s="102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</row>
    <row r="79" spans="1:34" ht="21" hidden="1" customHeight="1">
      <c r="A79" s="233" t="s">
        <v>265</v>
      </c>
      <c r="B79" s="234"/>
      <c r="C79" s="209" t="e">
        <f t="shared" ref="C79:H79" si="17">+$D30-C78</f>
        <v>#DIV/0!</v>
      </c>
      <c r="D79" s="209" t="e">
        <f t="shared" si="17"/>
        <v>#DIV/0!</v>
      </c>
      <c r="E79" s="209" t="e">
        <f t="shared" si="17"/>
        <v>#DIV/0!</v>
      </c>
      <c r="F79" s="209" t="e">
        <f t="shared" si="17"/>
        <v>#DIV/0!</v>
      </c>
      <c r="G79" s="209" t="e">
        <f t="shared" si="17"/>
        <v>#DIV/0!</v>
      </c>
      <c r="H79" s="209" t="e">
        <f t="shared" si="17"/>
        <v>#DIV/0!</v>
      </c>
      <c r="I79" s="105"/>
      <c r="J79" s="115"/>
      <c r="K79" s="106"/>
      <c r="L79" s="106"/>
      <c r="M79" s="120" t="s">
        <v>58</v>
      </c>
      <c r="N79" s="106"/>
      <c r="O79" s="102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 ht="21" hidden="1" customHeight="1" thickBot="1">
      <c r="A80" s="237" t="s">
        <v>257</v>
      </c>
      <c r="B80" s="237"/>
      <c r="C80" s="210"/>
      <c r="D80" s="210"/>
      <c r="E80" s="210" t="e">
        <f>+IF($B82&gt;50,((E50/$D30*E78)/5),0)</f>
        <v>#DIV/0!</v>
      </c>
      <c r="F80" s="210" t="e">
        <f>+IF($B82&gt;50,((F50/$D30*F78)/4),0)</f>
        <v>#DIV/0!</v>
      </c>
      <c r="G80" s="210" t="e">
        <f>+IF($B82&gt;50,((G50/$D30*G78)/4),0)</f>
        <v>#DIV/0!</v>
      </c>
      <c r="H80" s="210" t="e">
        <f>+IF($B82&gt;50,((H50/$D30*H78)/4),0)</f>
        <v>#DIV/0!</v>
      </c>
      <c r="I80" s="105"/>
      <c r="J80" s="121"/>
      <c r="K80" s="122"/>
      <c r="L80" s="122"/>
      <c r="M80" s="122"/>
      <c r="N80" s="122"/>
      <c r="O80" s="123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1:34" ht="21" hidden="1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1:34" ht="21" hidden="1" customHeight="1">
      <c r="A82" s="105" t="s">
        <v>258</v>
      </c>
      <c r="B82" s="105" t="e">
        <f>+Diversificazione!C83</f>
        <v>#DIV/0!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1:34" ht="21" hidden="1" customHeight="1">
      <c r="A83" s="105"/>
      <c r="B83" s="105"/>
      <c r="C83" s="105"/>
      <c r="D83" s="105"/>
      <c r="E83" s="196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1:34" ht="18.95" customHeight="1">
      <c r="A84" s="230" t="s">
        <v>273</v>
      </c>
      <c r="B84" s="230"/>
      <c r="C84" s="230"/>
      <c r="D84" s="230"/>
      <c r="E84" s="230"/>
      <c r="F84" s="230"/>
      <c r="G84" s="230"/>
      <c r="H84" s="230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105"/>
      <c r="AB84" s="105"/>
      <c r="AC84" s="105"/>
      <c r="AD84" s="105"/>
      <c r="AE84" s="105"/>
      <c r="AF84" s="105"/>
      <c r="AG84" s="105"/>
      <c r="AH84" s="105"/>
    </row>
    <row r="85" spans="1:34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105"/>
      <c r="AB85" s="105"/>
      <c r="AC85" s="105"/>
      <c r="AD85" s="105"/>
      <c r="AE85" s="105"/>
      <c r="AF85" s="105"/>
      <c r="AG85" s="105"/>
      <c r="AH85" s="105"/>
    </row>
    <row r="86" spans="1:34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105"/>
      <c r="AB86" s="105"/>
      <c r="AC86" s="105"/>
      <c r="AD86" s="105"/>
      <c r="AE86" s="105"/>
      <c r="AF86" s="105"/>
      <c r="AG86" s="105"/>
      <c r="AH86" s="105"/>
    </row>
    <row r="87" spans="1:34">
      <c r="A87" s="217"/>
      <c r="B87" s="217"/>
      <c r="C87" s="217"/>
      <c r="D87" s="217"/>
      <c r="E87" s="217"/>
      <c r="F87" s="217"/>
      <c r="G87" s="218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105"/>
      <c r="AB87" s="105"/>
      <c r="AC87" s="105"/>
      <c r="AD87" s="105"/>
      <c r="AE87" s="105"/>
      <c r="AF87" s="105"/>
      <c r="AG87" s="105"/>
      <c r="AH87" s="105"/>
    </row>
    <row r="88" spans="1:34">
      <c r="A88" s="217"/>
      <c r="B88" s="219"/>
      <c r="C88" s="217"/>
      <c r="D88" s="217"/>
      <c r="E88" s="217"/>
      <c r="F88" s="217"/>
      <c r="G88" s="219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105"/>
      <c r="AB88" s="105"/>
      <c r="AC88" s="105"/>
      <c r="AD88" s="105"/>
      <c r="AE88" s="105"/>
      <c r="AF88" s="105"/>
      <c r="AG88" s="105"/>
      <c r="AH88" s="105"/>
    </row>
    <row r="89" spans="1:34" ht="18">
      <c r="A89" s="220" t="s">
        <v>274</v>
      </c>
      <c r="B89" s="220" t="s">
        <v>275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105"/>
      <c r="AB89" s="105"/>
      <c r="AC89" s="105"/>
      <c r="AD89" s="105"/>
      <c r="AE89" s="105"/>
      <c r="AF89" s="105"/>
      <c r="AG89" s="105"/>
      <c r="AH89" s="105"/>
    </row>
    <row r="90" spans="1:34" ht="18">
      <c r="A90" s="220" t="s">
        <v>276</v>
      </c>
      <c r="B90" s="220" t="s">
        <v>277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105"/>
      <c r="AB90" s="105"/>
      <c r="AC90" s="105"/>
      <c r="AD90" s="105"/>
      <c r="AE90" s="105"/>
      <c r="AF90" s="105"/>
      <c r="AG90" s="105"/>
      <c r="AH90" s="105"/>
    </row>
    <row r="91" spans="1:34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105"/>
      <c r="AB91" s="105"/>
      <c r="AC91" s="105"/>
      <c r="AD91" s="105"/>
      <c r="AE91" s="105"/>
      <c r="AF91" s="105"/>
      <c r="AG91" s="105"/>
      <c r="AH91" s="105"/>
    </row>
    <row r="92" spans="1:34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105"/>
      <c r="AB92" s="105"/>
      <c r="AC92" s="105"/>
      <c r="AD92" s="105"/>
      <c r="AE92" s="105"/>
      <c r="AF92" s="105"/>
      <c r="AG92" s="105"/>
      <c r="AH92" s="105"/>
    </row>
  </sheetData>
  <sheetProtection password="CF73" sheet="1" formatCells="0" formatColumns="0" formatRows="0" insertColumns="0" insertRows="0" insertHyperlinks="0" deleteColumns="0" deleteRows="0" sort="0" autoFilter="0" pivotTables="0"/>
  <dataConsolidate/>
  <mergeCells count="59">
    <mergeCell ref="A32:B32"/>
    <mergeCell ref="A29:D29"/>
    <mergeCell ref="A30:B30"/>
    <mergeCell ref="A31:B31"/>
    <mergeCell ref="A19:B19"/>
    <mergeCell ref="A21:C21"/>
    <mergeCell ref="A22:B22"/>
    <mergeCell ref="A20:B20"/>
    <mergeCell ref="A15:B15"/>
    <mergeCell ref="A18:B18"/>
    <mergeCell ref="A24:B24"/>
    <mergeCell ref="A25:B25"/>
    <mergeCell ref="A16:B16"/>
    <mergeCell ref="A17:B17"/>
    <mergeCell ref="A67:H67"/>
    <mergeCell ref="A60:B60"/>
    <mergeCell ref="A42:B42"/>
    <mergeCell ref="A40:B40"/>
    <mergeCell ref="A39:B39"/>
    <mergeCell ref="A61:B61"/>
    <mergeCell ref="A62:B62"/>
    <mergeCell ref="A38:B38"/>
    <mergeCell ref="A36:B36"/>
    <mergeCell ref="A34:B34"/>
    <mergeCell ref="A33:B33"/>
    <mergeCell ref="A35:B35"/>
    <mergeCell ref="A37:B37"/>
    <mergeCell ref="E26:H26"/>
    <mergeCell ref="B27:D27"/>
    <mergeCell ref="B28:D28"/>
    <mergeCell ref="A26:A28"/>
    <mergeCell ref="A23:B23"/>
    <mergeCell ref="B26:D26"/>
    <mergeCell ref="J1:Z1"/>
    <mergeCell ref="A1:I1"/>
    <mergeCell ref="A13:B13"/>
    <mergeCell ref="A4:B4"/>
    <mergeCell ref="A5:B5"/>
    <mergeCell ref="A6:B6"/>
    <mergeCell ref="A7:B7"/>
    <mergeCell ref="A3:H3"/>
    <mergeCell ref="A8:B8"/>
    <mergeCell ref="A12:B12"/>
    <mergeCell ref="C2:E2"/>
    <mergeCell ref="A10:B10"/>
    <mergeCell ref="G12:H15"/>
    <mergeCell ref="A9:B9"/>
    <mergeCell ref="A14:B14"/>
    <mergeCell ref="A11:B11"/>
    <mergeCell ref="A84:H84"/>
    <mergeCell ref="A68:B68"/>
    <mergeCell ref="A79:B79"/>
    <mergeCell ref="A77:B77"/>
    <mergeCell ref="A78:B78"/>
    <mergeCell ref="A80:B80"/>
    <mergeCell ref="A69:B69"/>
    <mergeCell ref="A70:B70"/>
    <mergeCell ref="A71:B71"/>
    <mergeCell ref="A72:B72"/>
  </mergeCells>
  <phoneticPr fontId="4" type="noConversion"/>
  <conditionalFormatting sqref="A11:D11">
    <cfRule type="expression" dxfId="28" priority="27">
      <formula>$D$10="Si"</formula>
    </cfRule>
  </conditionalFormatting>
  <conditionalFormatting sqref="E11">
    <cfRule type="expression" dxfId="27" priority="26">
      <formula>$D$10="No"</formula>
    </cfRule>
  </conditionalFormatting>
  <conditionalFormatting sqref="E26:H28">
    <cfRule type="expression" dxfId="26" priority="32">
      <formula>$E$26="Attenzione: calcolare gli effetti del guadagno insperato"</formula>
    </cfRule>
  </conditionalFormatting>
  <conditionalFormatting sqref="A21:E21">
    <cfRule type="expression" dxfId="25" priority="20">
      <formula>AND($D$19&lt;$D$6,$D$40&lt;1000)</formula>
    </cfRule>
  </conditionalFormatting>
  <conditionalFormatting sqref="A22:D22">
    <cfRule type="expression" dxfId="24" priority="7">
      <formula>$G$33="si"</formula>
    </cfRule>
  </conditionalFormatting>
  <conditionalFormatting sqref="C2">
    <cfRule type="expression" dxfId="23" priority="40" stopIfTrue="1">
      <formula>$C$2&lt;&gt;""</formula>
    </cfRule>
  </conditionalFormatting>
  <conditionalFormatting sqref="C60:H60 A60">
    <cfRule type="expression" dxfId="22" priority="41" stopIfTrue="1">
      <formula>$B$27="ma che incorre negli effetti del guadagno insperato"</formula>
    </cfRule>
  </conditionalFormatting>
  <conditionalFormatting sqref="A61:H61">
    <cfRule type="expression" dxfId="21" priority="5">
      <formula>$B$28="e che è soggetta alla riduzione dei pagamenti diretti (degressività)"</formula>
    </cfRule>
  </conditionalFormatting>
  <conditionalFormatting sqref="G12:H15">
    <cfRule type="expression" dxfId="20" priority="4">
      <formula>$G$12=""</formula>
    </cfRule>
  </conditionalFormatting>
  <conditionalFormatting sqref="A62 C62:H62">
    <cfRule type="expression" dxfId="19" priority="1">
      <formula>$G$31="No"</formula>
    </cfRule>
  </conditionalFormatting>
  <conditionalFormatting sqref="A20:D20">
    <cfRule type="expression" dxfId="18" priority="43">
      <formula>$G$29="No"</formula>
    </cfRule>
  </conditionalFormatting>
  <dataValidations count="2">
    <dataValidation type="list" allowBlank="1" showInputMessage="1" showErrorMessage="1" sqref="D10 D21">
      <formula1>$M$71:$N$71</formula1>
    </dataValidation>
    <dataValidation type="list" allowBlank="1" showInputMessage="1" showErrorMessage="1" sqref="D11">
      <formula1>$M$73:$M$79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42" fitToHeight="5" orientation="landscape" r:id="rId1"/>
  <ignoredErrors>
    <ignoredError sqref="C62:H62 C58 C56:H57 D58:H58 C54:D54" evalError="1"/>
    <ignoredError sqref="B57" emptyCellReferenc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 enableFormatConditionsCalculation="0">
    <tabColor rgb="FFFFC000"/>
  </sheetPr>
  <dimension ref="A1:V47"/>
  <sheetViews>
    <sheetView topLeftCell="A17" zoomScaleNormal="100" zoomScalePageLayoutView="110" workbookViewId="0">
      <selection activeCell="J23" sqref="J23"/>
    </sheetView>
  </sheetViews>
  <sheetFormatPr defaultColWidth="8.85546875" defaultRowHeight="12.75"/>
  <cols>
    <col min="1" max="1" width="31.85546875" bestFit="1" customWidth="1"/>
    <col min="2" max="2" width="44.140625" bestFit="1" customWidth="1"/>
    <col min="3" max="3" width="20.28515625" customWidth="1"/>
    <col min="4" max="4" width="12.85546875" hidden="1" customWidth="1"/>
    <col min="5" max="5" width="8.85546875" hidden="1" customWidth="1"/>
    <col min="6" max="6" width="13.85546875" customWidth="1"/>
    <col min="7" max="7" width="15.140625" customWidth="1"/>
    <col min="8" max="8" width="9.140625" hidden="1" customWidth="1"/>
  </cols>
  <sheetData>
    <row r="1" spans="1:22" ht="49.5" customHeight="1">
      <c r="A1" s="284" t="s">
        <v>114</v>
      </c>
      <c r="B1" s="285"/>
      <c r="C1" s="285"/>
      <c r="D1" s="285"/>
      <c r="E1" s="285"/>
      <c r="F1" s="285"/>
      <c r="G1" s="285"/>
      <c r="H1" s="28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6.25" customHeight="1">
      <c r="A2" s="289" t="s">
        <v>70</v>
      </c>
      <c r="B2" s="289" t="s">
        <v>71</v>
      </c>
      <c r="C2" s="289" t="s">
        <v>72</v>
      </c>
      <c r="D2" s="289" t="s">
        <v>73</v>
      </c>
      <c r="E2" s="289"/>
      <c r="F2" s="52" t="s">
        <v>74</v>
      </c>
      <c r="G2" s="52" t="s">
        <v>109</v>
      </c>
      <c r="H2" s="52" t="s">
        <v>108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7">
      <c r="A3" s="289"/>
      <c r="B3" s="289"/>
      <c r="C3" s="289"/>
      <c r="D3" s="53" t="s">
        <v>75</v>
      </c>
      <c r="E3" s="53" t="s">
        <v>14</v>
      </c>
      <c r="F3" s="54" t="s">
        <v>76</v>
      </c>
      <c r="G3" s="54" t="s">
        <v>111</v>
      </c>
      <c r="H3" s="53" t="s">
        <v>110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2" customHeight="1">
      <c r="A4" s="286" t="s">
        <v>77</v>
      </c>
      <c r="B4" s="59" t="s">
        <v>78</v>
      </c>
      <c r="C4" s="60" t="s">
        <v>79</v>
      </c>
      <c r="D4" s="56">
        <v>75.11</v>
      </c>
      <c r="E4" s="56">
        <v>17.5</v>
      </c>
      <c r="F4" s="56">
        <v>56</v>
      </c>
      <c r="G4" s="63"/>
      <c r="H4" s="61">
        <f>+G4*F4</f>
        <v>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25.5" customHeight="1">
      <c r="A5" s="286"/>
      <c r="B5" s="59" t="s">
        <v>80</v>
      </c>
      <c r="C5" s="60" t="s">
        <v>79</v>
      </c>
      <c r="D5" s="56">
        <v>9.8699999999999992</v>
      </c>
      <c r="E5" s="56">
        <v>2.2999999999999998</v>
      </c>
      <c r="F5" s="56">
        <v>40</v>
      </c>
      <c r="G5" s="127"/>
      <c r="H5" s="61">
        <f t="shared" ref="H5:H23" si="0">+G5*F5</f>
        <v>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2.75" customHeight="1">
      <c r="A6" s="286"/>
      <c r="B6" s="60" t="s">
        <v>81</v>
      </c>
      <c r="C6" s="60" t="s">
        <v>79</v>
      </c>
      <c r="D6" s="56">
        <v>4.12</v>
      </c>
      <c r="E6" s="56">
        <v>0.96</v>
      </c>
      <c r="F6" s="56">
        <v>20</v>
      </c>
      <c r="G6" s="63"/>
      <c r="H6" s="61">
        <f t="shared" si="0"/>
        <v>0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3.5" customHeight="1">
      <c r="A7" s="290" t="s">
        <v>82</v>
      </c>
      <c r="B7" s="57" t="s">
        <v>83</v>
      </c>
      <c r="C7" s="57" t="s">
        <v>79</v>
      </c>
      <c r="D7" s="51">
        <v>40.78</v>
      </c>
      <c r="E7" s="51">
        <v>9.5</v>
      </c>
      <c r="F7" s="51">
        <v>202</v>
      </c>
      <c r="G7" s="64"/>
      <c r="H7" s="58">
        <f t="shared" si="0"/>
        <v>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54.75" customHeight="1">
      <c r="A8" s="291"/>
      <c r="B8" s="57" t="s">
        <v>141</v>
      </c>
      <c r="C8" s="57" t="s">
        <v>79</v>
      </c>
      <c r="D8" s="51"/>
      <c r="E8" s="51"/>
      <c r="F8" s="51">
        <f>+F7*0.2</f>
        <v>40.400000000000006</v>
      </c>
      <c r="G8" s="64"/>
      <c r="H8" s="58">
        <f t="shared" si="0"/>
        <v>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26.25" customHeight="1">
      <c r="A9" s="291"/>
      <c r="B9" s="57" t="s">
        <v>84</v>
      </c>
      <c r="C9" s="57" t="s">
        <v>79</v>
      </c>
      <c r="D9" s="51">
        <v>66.959999999999994</v>
      </c>
      <c r="E9" s="51">
        <v>15.6</v>
      </c>
      <c r="F9" s="51">
        <v>46</v>
      </c>
      <c r="G9" s="64"/>
      <c r="H9" s="58">
        <f t="shared" si="0"/>
        <v>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67.5" customHeight="1">
      <c r="A10" s="292"/>
      <c r="B10" s="57" t="s">
        <v>140</v>
      </c>
      <c r="C10" s="57" t="s">
        <v>79</v>
      </c>
      <c r="D10" s="51"/>
      <c r="E10" s="51"/>
      <c r="F10" s="51">
        <f>+F9*0.3</f>
        <v>13.799999999999999</v>
      </c>
      <c r="G10" s="64"/>
      <c r="H10" s="58">
        <f t="shared" si="0"/>
        <v>0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4.25" customHeight="1">
      <c r="A11" s="104"/>
      <c r="B11" s="57" t="s">
        <v>142</v>
      </c>
      <c r="C11" s="57" t="s">
        <v>79</v>
      </c>
      <c r="D11" s="51"/>
      <c r="E11" s="51"/>
      <c r="F11" s="51">
        <f>+F9*0.5</f>
        <v>23</v>
      </c>
      <c r="G11" s="64"/>
      <c r="H11" s="58">
        <f t="shared" si="0"/>
        <v>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7.25" customHeight="1">
      <c r="A12" s="286" t="s">
        <v>85</v>
      </c>
      <c r="B12" s="60" t="s">
        <v>86</v>
      </c>
      <c r="C12" s="60" t="s">
        <v>79</v>
      </c>
      <c r="D12" s="56">
        <v>9.49</v>
      </c>
      <c r="E12" s="56">
        <v>2.21</v>
      </c>
      <c r="F12" s="56">
        <v>12</v>
      </c>
      <c r="G12" s="63"/>
      <c r="H12" s="61">
        <f t="shared" si="0"/>
        <v>0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9.25" customHeight="1">
      <c r="A13" s="286"/>
      <c r="B13" s="60" t="s">
        <v>87</v>
      </c>
      <c r="C13" s="60" t="s">
        <v>79</v>
      </c>
      <c r="D13" s="56">
        <v>5.54</v>
      </c>
      <c r="E13" s="56">
        <v>1.29</v>
      </c>
      <c r="F13" s="56">
        <v>10</v>
      </c>
      <c r="G13" s="63"/>
      <c r="H13" s="61">
        <f t="shared" si="0"/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39" customHeight="1">
      <c r="A14" s="287" t="s">
        <v>88</v>
      </c>
      <c r="B14" s="57" t="s">
        <v>89</v>
      </c>
      <c r="C14" s="57" t="s">
        <v>90</v>
      </c>
      <c r="D14" s="51">
        <v>9.8699999999999992</v>
      </c>
      <c r="E14" s="51">
        <v>2.2999999999999998</v>
      </c>
      <c r="F14" s="51">
        <v>97</v>
      </c>
      <c r="G14" s="64"/>
      <c r="H14" s="58">
        <f>+IF(G14&lt;=5,G14*F14,(F14*5+(G14-5)*0.1*F14))</f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66" customHeight="1">
      <c r="A15" s="287"/>
      <c r="B15" s="57" t="s">
        <v>91</v>
      </c>
      <c r="C15" s="57" t="s">
        <v>92</v>
      </c>
      <c r="D15" s="51">
        <v>59.88</v>
      </c>
      <c r="E15" s="51">
        <v>13.95</v>
      </c>
      <c r="F15" s="51">
        <v>60</v>
      </c>
      <c r="G15" s="64"/>
      <c r="H15" s="58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28.5" customHeight="1">
      <c r="A16" s="287"/>
      <c r="B16" s="57" t="s">
        <v>145</v>
      </c>
      <c r="C16" s="57" t="s">
        <v>93</v>
      </c>
      <c r="D16" s="51">
        <v>14.16</v>
      </c>
      <c r="E16" s="51">
        <v>3.3</v>
      </c>
      <c r="F16" s="51">
        <v>80</v>
      </c>
      <c r="G16" s="64"/>
      <c r="H16" s="58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52.5" customHeight="1">
      <c r="A17" s="287"/>
      <c r="B17" s="57" t="s">
        <v>94</v>
      </c>
      <c r="C17" s="57" t="s">
        <v>95</v>
      </c>
      <c r="D17" s="51">
        <v>11.8</v>
      </c>
      <c r="E17" s="51">
        <v>2.75</v>
      </c>
      <c r="F17" s="51">
        <v>90</v>
      </c>
      <c r="G17" s="64"/>
      <c r="H17" s="58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21.75" customHeight="1">
      <c r="A18" s="55" t="s">
        <v>96</v>
      </c>
      <c r="B18" s="60" t="s">
        <v>97</v>
      </c>
      <c r="C18" s="60" t="s">
        <v>79</v>
      </c>
      <c r="D18" s="56">
        <v>22.75</v>
      </c>
      <c r="E18" s="56">
        <v>5.3</v>
      </c>
      <c r="F18" s="56">
        <v>120</v>
      </c>
      <c r="G18" s="63"/>
      <c r="H18" s="61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34.5" customHeight="1">
      <c r="A19" s="50" t="s">
        <v>98</v>
      </c>
      <c r="B19" s="57" t="s">
        <v>99</v>
      </c>
      <c r="C19" s="57" t="s">
        <v>79</v>
      </c>
      <c r="D19" s="51">
        <v>17.21</v>
      </c>
      <c r="E19" s="51">
        <v>4.01</v>
      </c>
      <c r="F19" s="51">
        <v>325</v>
      </c>
      <c r="G19" s="64"/>
      <c r="H19" s="58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36" customHeight="1">
      <c r="A20" s="55" t="s">
        <v>100</v>
      </c>
      <c r="B20" s="60" t="s">
        <v>101</v>
      </c>
      <c r="C20" s="60" t="s">
        <v>79</v>
      </c>
      <c r="D20" s="56">
        <v>11.3</v>
      </c>
      <c r="E20" s="56">
        <v>2.63</v>
      </c>
      <c r="F20" s="56">
        <v>160</v>
      </c>
      <c r="G20" s="63"/>
      <c r="H20" s="61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3.5" customHeight="1">
      <c r="A21" s="287" t="s">
        <v>102</v>
      </c>
      <c r="B21" s="57" t="s">
        <v>103</v>
      </c>
      <c r="C21" s="57" t="s">
        <v>104</v>
      </c>
      <c r="D21" s="51">
        <v>44.29</v>
      </c>
      <c r="E21" s="51">
        <v>10.3</v>
      </c>
      <c r="F21" s="51">
        <v>78</v>
      </c>
      <c r="G21" s="64"/>
      <c r="H21" s="58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27.75" customHeight="1">
      <c r="A22" s="287"/>
      <c r="B22" s="57" t="s">
        <v>105</v>
      </c>
      <c r="C22" s="57" t="s">
        <v>106</v>
      </c>
      <c r="D22" s="51">
        <v>13.31</v>
      </c>
      <c r="E22" s="51">
        <v>3.1</v>
      </c>
      <c r="F22" s="51">
        <v>70</v>
      </c>
      <c r="G22" s="64"/>
      <c r="H22" s="58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40.5" customHeight="1">
      <c r="A23" s="287"/>
      <c r="B23" s="57" t="s">
        <v>107</v>
      </c>
      <c r="C23" s="57" t="s">
        <v>79</v>
      </c>
      <c r="D23" s="51">
        <v>12.88</v>
      </c>
      <c r="E23" s="51">
        <v>3</v>
      </c>
      <c r="F23" s="51">
        <v>130</v>
      </c>
      <c r="G23" s="64"/>
      <c r="H23" s="58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26.25" hidden="1" customHeight="1">
      <c r="A24" s="288" t="s">
        <v>108</v>
      </c>
      <c r="B24" s="288"/>
      <c r="C24" s="288"/>
      <c r="D24" s="288"/>
      <c r="E24" s="288"/>
      <c r="F24" s="288"/>
      <c r="G24" s="288"/>
      <c r="H24" s="61">
        <f>SUM(H4:H23)</f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8">
      <c r="A28" s="283" t="s">
        <v>273</v>
      </c>
      <c r="B28" s="283"/>
      <c r="C28" s="283"/>
      <c r="D28" s="283"/>
      <c r="E28" s="283"/>
      <c r="F28" s="283"/>
      <c r="G28" s="283"/>
      <c r="H28" s="28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>
      <c r="A29" s="222"/>
      <c r="B29" s="222"/>
      <c r="C29" s="222"/>
      <c r="D29" s="222"/>
      <c r="E29" s="222"/>
      <c r="F29" s="222"/>
      <c r="G29" s="222"/>
      <c r="H29" s="22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A30" s="222"/>
      <c r="B30" s="222"/>
      <c r="C30" s="222"/>
      <c r="D30" s="222"/>
      <c r="E30" s="222"/>
      <c r="F30" s="222"/>
      <c r="G30" s="222"/>
      <c r="H30" s="22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A31" s="223" t="s">
        <v>274</v>
      </c>
      <c r="B31" s="223" t="s">
        <v>275</v>
      </c>
      <c r="C31" s="222"/>
      <c r="D31" s="222"/>
      <c r="E31" s="222"/>
      <c r="F31" s="222"/>
      <c r="G31" s="222"/>
      <c r="H31" s="22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A32" s="223" t="s">
        <v>276</v>
      </c>
      <c r="B32" s="223" t="s">
        <v>277</v>
      </c>
      <c r="C32" s="222"/>
      <c r="D32" s="222"/>
      <c r="E32" s="222"/>
      <c r="F32" s="222"/>
      <c r="G32" s="222"/>
      <c r="H32" s="22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222"/>
      <c r="B33" s="222"/>
      <c r="C33" s="222"/>
      <c r="D33" s="222"/>
      <c r="E33" s="222"/>
      <c r="F33" s="222"/>
      <c r="G33" s="222"/>
      <c r="H33" s="222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</sheetData>
  <sheetProtection formatCells="0" formatColumns="0" formatRows="0"/>
  <mergeCells count="12">
    <mergeCell ref="A28:H28"/>
    <mergeCell ref="A1:H1"/>
    <mergeCell ref="A12:A13"/>
    <mergeCell ref="A14:A17"/>
    <mergeCell ref="A21:A23"/>
    <mergeCell ref="A24:G24"/>
    <mergeCell ref="A2:A3"/>
    <mergeCell ref="B2:B3"/>
    <mergeCell ref="C2:C3"/>
    <mergeCell ref="D2:E2"/>
    <mergeCell ref="A4:A6"/>
    <mergeCell ref="A7:A10"/>
  </mergeCells>
  <phoneticPr fontId="25" type="noConversion"/>
  <conditionalFormatting sqref="B8:H8">
    <cfRule type="expression" dxfId="17" priority="3">
      <formula>$G$7=""</formula>
    </cfRule>
  </conditionalFormatting>
  <conditionalFormatting sqref="B10:H11">
    <cfRule type="expression" dxfId="16" priority="2">
      <formula>$G$9=""</formula>
    </cfRule>
  </conditionalFormatting>
  <pageMargins left="0.7" right="0.7" top="0.75" bottom="0.75" header="0.3" footer="0.3"/>
  <pageSetup paperSize="9" orientation="portrait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 enableFormatConditionsCalculation="0">
    <tabColor rgb="FF00B050"/>
  </sheetPr>
  <dimension ref="A1:S151"/>
  <sheetViews>
    <sheetView topLeftCell="A4" workbookViewId="0">
      <selection activeCell="D91" sqref="D91"/>
    </sheetView>
  </sheetViews>
  <sheetFormatPr defaultColWidth="8.85546875" defaultRowHeight="15"/>
  <cols>
    <col min="1" max="1" width="50.42578125" style="150" customWidth="1"/>
    <col min="2" max="2" width="23.140625" style="150" customWidth="1"/>
    <col min="3" max="3" width="29.28515625" style="150" customWidth="1"/>
    <col min="4" max="4" width="62.85546875" style="150" customWidth="1"/>
    <col min="5" max="5" width="8.7109375" style="150" customWidth="1"/>
    <col min="6" max="16384" width="8.85546875" style="150"/>
  </cols>
  <sheetData>
    <row r="1" spans="1:18" ht="31.5" customHeight="1">
      <c r="A1" s="316" t="s">
        <v>149</v>
      </c>
      <c r="B1" s="317"/>
      <c r="C1" s="318"/>
      <c r="D1" s="147"/>
      <c r="E1" s="148"/>
      <c r="F1" s="148"/>
      <c r="G1" s="148"/>
      <c r="H1" s="149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4.1" customHeight="1">
      <c r="A2" s="319" t="s">
        <v>56</v>
      </c>
      <c r="B2" s="320"/>
      <c r="C2" s="321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322" t="s">
        <v>150</v>
      </c>
      <c r="B3" s="323"/>
      <c r="C3" s="324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8.95" customHeight="1">
      <c r="A4" s="325" t="s">
        <v>152</v>
      </c>
      <c r="B4" s="325"/>
      <c r="C4" s="198">
        <f>+'Maschera di Calcolo'!D30</f>
        <v>15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18.95" customHeight="1">
      <c r="A5" s="313" t="s">
        <v>151</v>
      </c>
      <c r="B5" s="313"/>
      <c r="C5" s="202" t="s">
        <v>50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18.95" customHeight="1">
      <c r="A6" s="313" t="s">
        <v>153</v>
      </c>
      <c r="B6" s="313"/>
      <c r="C6" s="203"/>
      <c r="D6" s="311" t="str">
        <f>+IF((C6+C7+C8)&gt;C4,"Attenzione la superficie a seminativi non può oltrepassare la SAU","")</f>
        <v/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18.95" customHeight="1">
      <c r="A7" s="306" t="s">
        <v>269</v>
      </c>
      <c r="B7" s="307"/>
      <c r="C7" s="203"/>
      <c r="D7" s="311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18.95" customHeight="1">
      <c r="A8" s="306" t="s">
        <v>268</v>
      </c>
      <c r="B8" s="307"/>
      <c r="C8" s="203"/>
      <c r="D8" s="311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18.95" customHeight="1">
      <c r="A9" s="312" t="s">
        <v>154</v>
      </c>
      <c r="B9" s="312"/>
      <c r="C9" s="204"/>
      <c r="D9" s="147"/>
      <c r="E9" s="147"/>
      <c r="F9" s="147"/>
      <c r="G9" s="147"/>
      <c r="H9" s="147"/>
      <c r="I9" s="147"/>
      <c r="J9" s="152"/>
      <c r="K9" s="147"/>
      <c r="L9" s="147"/>
      <c r="M9" s="147"/>
      <c r="N9" s="147"/>
      <c r="O9" s="147"/>
      <c r="P9" s="147"/>
      <c r="Q9" s="147"/>
      <c r="R9" s="147"/>
    </row>
    <row r="10" spans="1:18" ht="41.25" customHeight="1">
      <c r="A10" s="312" t="s">
        <v>155</v>
      </c>
      <c r="B10" s="312"/>
      <c r="C10" s="205" t="s">
        <v>49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20.100000000000001" customHeight="1">
      <c r="A11" s="312" t="s">
        <v>156</v>
      </c>
      <c r="B11" s="312"/>
      <c r="C11" s="204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20.100000000000001" customHeight="1">
      <c r="A12" s="312" t="s">
        <v>157</v>
      </c>
      <c r="B12" s="312"/>
      <c r="C12" s="204"/>
      <c r="D12" s="147"/>
      <c r="E12" s="153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20.100000000000001" customHeight="1">
      <c r="A13" s="312" t="s">
        <v>158</v>
      </c>
      <c r="B13" s="312"/>
      <c r="C13" s="204"/>
      <c r="D13" s="147"/>
      <c r="E13" s="153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20.100000000000001" customHeight="1">
      <c r="A14" s="312" t="s">
        <v>159</v>
      </c>
      <c r="B14" s="312"/>
      <c r="C14" s="204"/>
      <c r="D14" s="147"/>
      <c r="E14" s="153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20.100000000000001" customHeight="1">
      <c r="A15" s="314" t="s">
        <v>160</v>
      </c>
      <c r="B15" s="315"/>
      <c r="C15" s="204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20.100000000000001" customHeight="1">
      <c r="A16" s="314" t="s">
        <v>161</v>
      </c>
      <c r="B16" s="315"/>
      <c r="C16" s="204">
        <v>5</v>
      </c>
      <c r="D16" s="154" t="e">
        <f>IF(AND((C13+C12)/C6&gt;0.75,C16="",C32="No",C34="No"),"Inserire il valore della superficie occupata dalla coltura principale, escludendo gli erbai, le foraggere e i terreni a riposo, poiché già indicati","")</f>
        <v>#DIV/0!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9" ht="20.100000000000001" customHeight="1">
      <c r="A17" s="314" t="s">
        <v>162</v>
      </c>
      <c r="B17" s="315"/>
      <c r="C17" s="204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9" ht="20.100000000000001" customHeight="1">
      <c r="A18" s="306" t="s">
        <v>163</v>
      </c>
      <c r="B18" s="307"/>
      <c r="C18" s="206" t="s">
        <v>164</v>
      </c>
      <c r="D18" s="147"/>
      <c r="E18" s="155"/>
      <c r="F18" s="147" t="s">
        <v>165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9" ht="39" customHeight="1">
      <c r="A19" s="308" t="e">
        <f>#VALUE!</f>
        <v>#VALUE!</v>
      </c>
      <c r="B19" s="309"/>
      <c r="C19" s="310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9" ht="6" customHeight="1">
      <c r="A20" s="147"/>
      <c r="B20" s="147"/>
      <c r="C20" s="215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9" ht="16.5" hidden="1" customHeight="1" thickBot="1">
      <c r="A21" s="156"/>
      <c r="B21" s="15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9" ht="16.5" hidden="1" customHeight="1" thickBot="1">
      <c r="A22" s="158" t="s">
        <v>166</v>
      </c>
      <c r="B22" s="159" t="s">
        <v>49</v>
      </c>
      <c r="C22" s="160" t="s">
        <v>50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9" s="147" customFormat="1" ht="16.5" hidden="1" customHeight="1">
      <c r="A23" s="156"/>
      <c r="B23" s="161"/>
      <c r="C23" s="161"/>
    </row>
    <row r="24" spans="1:19" s="162" customFormat="1" ht="16.5" hidden="1" customHeight="1">
      <c r="A24" s="296" t="s">
        <v>167</v>
      </c>
      <c r="B24" s="296"/>
      <c r="C24" s="29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9" s="162" customFormat="1" ht="33.950000000000003" hidden="1" customHeight="1">
      <c r="A25" s="295" t="s">
        <v>168</v>
      </c>
      <c r="B25" s="295"/>
      <c r="C25" s="163" t="e">
        <f>+IF((C13+C12)/C6&gt;0.75,"Si","No")</f>
        <v>#DIV/0!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9" s="162" customFormat="1" ht="32.25" hidden="1" customHeight="1">
      <c r="A26" s="295" t="s">
        <v>169</v>
      </c>
      <c r="B26" s="295"/>
      <c r="C26" s="163" t="e">
        <f>+IF(C25="Si",IF(AND(C16&lt;&gt;0,C16/(C6-(C13+C12))&lt;0.75),"Si","No"))</f>
        <v>#DIV/0!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9" s="162" customFormat="1" ht="16.5" hidden="1" customHeight="1">
      <c r="A27" s="296" t="s">
        <v>170</v>
      </c>
      <c r="B27" s="296"/>
      <c r="C27" s="29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9" s="162" customFormat="1" ht="16.5" hidden="1" customHeight="1">
      <c r="A28" s="295" t="s">
        <v>171</v>
      </c>
      <c r="B28" s="295"/>
      <c r="C28" s="163" t="str">
        <f>+IF(AND(C4&gt;0,C6="",C9=""),"Si","No")</f>
        <v>Si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9" s="162" customFormat="1" ht="16.5" hidden="1" customHeight="1">
      <c r="A29" s="295" t="s">
        <v>172</v>
      </c>
      <c r="B29" s="295"/>
      <c r="C29" s="163" t="str">
        <f>+IF(AND(C4&gt;0,C6=""),"Si","No")</f>
        <v>Si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9" s="162" customFormat="1" ht="16.5" hidden="1" customHeight="1">
      <c r="A30" s="301" t="s">
        <v>270</v>
      </c>
      <c r="B30" s="302"/>
      <c r="C30" s="163" t="str">
        <f>+IF(AND(C4&gt;0,C6&lt;=10),"Si","No")</f>
        <v>Si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9" s="162" customFormat="1" ht="16.5" hidden="1" customHeight="1">
      <c r="A31" s="301" t="s">
        <v>271</v>
      </c>
      <c r="B31" s="302"/>
      <c r="C31" s="163" t="str">
        <f>+IF(AND(C4&gt;0,C6&lt;15),"Si","No")</f>
        <v>Si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9" hidden="1">
      <c r="A32" s="294" t="s">
        <v>173</v>
      </c>
      <c r="B32" s="294"/>
      <c r="C32" s="164" t="e">
        <f>+IF(AND((C12+C13)/C6&gt;0.75,(C6-(C13+C12)&lt;30)),"Si","No")</f>
        <v>#DIV/0!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:19" hidden="1">
      <c r="A33" s="294" t="s">
        <v>174</v>
      </c>
      <c r="B33" s="294"/>
      <c r="C33" s="164" t="e">
        <f>+IF(AND((C14+C12+C13)/C6&gt;0.75,(C6-(C14+C13+C12)&lt;30)),"Si","No")</f>
        <v>#DIV/0!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:19" ht="16.5" hidden="1" customHeight="1">
      <c r="A34" s="295" t="s">
        <v>175</v>
      </c>
      <c r="B34" s="295"/>
      <c r="C34" s="163" t="str">
        <f>+IF(AND((C12+C11+C9)/C4&gt;0.75, (C4-(C12+C11+C9)&lt;30)),"Si","No")</f>
        <v>No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</row>
    <row r="35" spans="1:19" ht="16.5" hidden="1" customHeight="1">
      <c r="A35" s="296" t="s">
        <v>176</v>
      </c>
      <c r="B35" s="296"/>
      <c r="C35" s="29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1:19" ht="16.5" hidden="1" customHeight="1">
      <c r="A36" s="297" t="s">
        <v>177</v>
      </c>
      <c r="B36" s="297"/>
      <c r="C36" s="165" t="str">
        <f>+IF((C6+C9)&gt;C4,"Superamento SAU","Ok")</f>
        <v>Ok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ht="16.5" hidden="1" customHeight="1">
      <c r="A37" s="297" t="s">
        <v>177</v>
      </c>
      <c r="B37" s="297"/>
      <c r="C37" s="165" t="str">
        <f>+IF((C9+C12+C11)&gt;C4,"Superamento SAU","Ok")</f>
        <v>Ok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  <row r="38" spans="1:19" ht="16.5" hidden="1" customHeight="1">
      <c r="A38" s="295" t="s">
        <v>178</v>
      </c>
      <c r="B38" s="295"/>
      <c r="C38" s="165" t="str">
        <f>+IF((C16+C17)&gt;C6,"Superamento seminativi","Ok")</f>
        <v>Superamento seminativi</v>
      </c>
      <c r="D38" s="147">
        <v>1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</row>
    <row r="39" spans="1:19" ht="16.5" hidden="1" customHeight="1">
      <c r="A39" s="295" t="s">
        <v>179</v>
      </c>
      <c r="B39" s="295"/>
      <c r="C39" s="165" t="str">
        <f>+IF((C12+C13)&gt;C6,"Superamento seminativi","Ok")</f>
        <v>Ok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</row>
    <row r="40" spans="1:19" ht="16.5" hidden="1" customHeight="1">
      <c r="A40" s="156"/>
      <c r="B40" s="15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</row>
    <row r="41" spans="1:19" ht="21.95" customHeight="1">
      <c r="A41" s="298" t="s">
        <v>180</v>
      </c>
      <c r="B41" s="299"/>
      <c r="C41" s="300"/>
      <c r="D41" s="16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</row>
    <row r="42" spans="1:19" ht="36" customHeight="1">
      <c r="A42" s="303" t="s">
        <v>181</v>
      </c>
      <c r="B42" s="303"/>
      <c r="C42" s="167" t="s">
        <v>182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</row>
    <row r="43" spans="1:19" ht="18.75">
      <c r="A43" s="168" t="s">
        <v>183</v>
      </c>
      <c r="B43" s="151" t="str">
        <f>+IF(C5="Si","No",IF(C4="","n.d.",IF(C6="","No",IF(OR(C6&lt;=10,C32="Si",C34="Si"),"No",IF(C25="Si","Si, almeno 2 colture",IF(AND(C6&gt;10,C6&lt;=30),"Si, almeno 2 colture","Si, almeno 3 colture"))))))</f>
        <v>No</v>
      </c>
      <c r="C43" s="151" t="str">
        <f>+IF(B43="No","Si",IF(C4="","n.d.",IF(C26="Si","Si",IF(OR(C15="",C16=""),"Dati insufficienti",IF(AND(C15&gt;=2,B43="Si, almeno 2 colture", C16/C6&lt;=0.75),"Si",IF(C17="","No",IF(AND(C15&gt;=3,C16/C6&lt;=0.75,(C16+C17)/C6&lt;=0.95,C16&gt;0),"Si","No")))))))</f>
        <v>Si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</row>
    <row r="44" spans="1:19" ht="18.75">
      <c r="A44" s="168" t="s">
        <v>184</v>
      </c>
      <c r="B44" s="151" t="str">
        <f>+IF(C5="Si","No",IF(C9="","No",IF(C9&gt;0,"Si","No")))</f>
        <v>No</v>
      </c>
      <c r="C44" s="151" t="str">
        <f>+IF(B44="No","Si",IF(C9&gt;0,"No",))</f>
        <v>Si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</row>
    <row r="45" spans="1:19" ht="18.75">
      <c r="A45" s="168" t="s">
        <v>185</v>
      </c>
      <c r="B45" s="151" t="str">
        <f>+IF(C5="Si","No",IF(C4="","n.d.",IF(C6="","No",IF(OR(C33="Si",C34="Si"),"No",IF(C6&gt;15,"Si","No")))))</f>
        <v>No</v>
      </c>
      <c r="C45" s="151" t="str">
        <f>+IF(B45="No","Si",IF(C4="","n.d.",IF(AND(B45="Si",EFA!G25/Diversificazione!C6&lt;0.05),"No","Si")))</f>
        <v>Si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9" ht="24" customHeight="1">
      <c r="A46" s="303" t="s">
        <v>186</v>
      </c>
      <c r="B46" s="303"/>
      <c r="C46" s="169" t="str">
        <f>+IF(C5="Si","Si",IF(C4="","n.d.",IF(AND(C43="Si",C44="Si",C45="Si"),"Si","No")))</f>
        <v>Si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9" hidden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9" hidden="1">
      <c r="A48" s="170" t="s">
        <v>187</v>
      </c>
      <c r="B48" s="170">
        <f>+C6*0.75</f>
        <v>0</v>
      </c>
      <c r="C48" s="170">
        <f>+C6*0.2</f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idden="1">
      <c r="A49" s="147"/>
      <c r="B49" s="147"/>
      <c r="C49" s="147"/>
    </row>
    <row r="50" spans="1:18" hidden="1">
      <c r="A50" s="171" t="s">
        <v>188</v>
      </c>
      <c r="B50" s="147"/>
      <c r="C50" s="147">
        <v>75</v>
      </c>
      <c r="D50" s="147" t="s">
        <v>189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hidden="1">
      <c r="A51" s="147" t="s">
        <v>190</v>
      </c>
      <c r="B51" s="147"/>
      <c r="C51" s="147" t="e">
        <f>+C16/C6*100</f>
        <v>#DIV/0!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hidden="1">
      <c r="A52" s="147" t="s">
        <v>191</v>
      </c>
      <c r="B52" s="147"/>
      <c r="C52" s="147">
        <f>0.25*C6</f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hidden="1">
      <c r="A53" s="147" t="s">
        <v>192</v>
      </c>
      <c r="B53" s="147"/>
      <c r="C53" s="147" t="e">
        <f>+(C16-B48)/C52</f>
        <v>#DIV/0!</v>
      </c>
      <c r="D53" s="147" t="s">
        <v>193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idden="1">
      <c r="A54" s="172" t="s">
        <v>194</v>
      </c>
      <c r="B54" s="172"/>
      <c r="C54" s="172" t="e">
        <f>+C6*0.5*C53</f>
        <v>#DIV/0!</v>
      </c>
      <c r="D54" s="147" t="s">
        <v>195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idden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idden="1">
      <c r="A56" s="171" t="s">
        <v>196</v>
      </c>
      <c r="B56" s="147"/>
      <c r="C56" s="147">
        <v>95</v>
      </c>
      <c r="D56" s="147" t="s">
        <v>189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8" hidden="1">
      <c r="A57" s="147" t="s">
        <v>197</v>
      </c>
      <c r="B57" s="147"/>
      <c r="C57" s="147" t="e">
        <f>+(C16+C17)/C6*100</f>
        <v>#DIV/0!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18" hidden="1">
      <c r="A58" s="147" t="s">
        <v>191</v>
      </c>
      <c r="B58" s="147"/>
      <c r="C58" s="147">
        <f>+C6*0.05</f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  <row r="59" spans="1:18" hidden="1">
      <c r="A59" s="147" t="s">
        <v>192</v>
      </c>
      <c r="C59" s="152" t="e">
        <f>+((C16+C17)-(B48+C48))/C58</f>
        <v>#DIV/0!</v>
      </c>
      <c r="D59" s="147" t="s">
        <v>193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18" hidden="1">
      <c r="A60" s="172" t="s">
        <v>194</v>
      </c>
      <c r="B60" s="172"/>
      <c r="C60" s="172" t="e">
        <f>+C6*0.5*C59</f>
        <v>#DIV/0!</v>
      </c>
      <c r="D60" s="147" t="s">
        <v>195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18" hidden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</row>
    <row r="62" spans="1:18" hidden="1">
      <c r="A62" s="171" t="s">
        <v>198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</row>
    <row r="63" spans="1:18" hidden="1">
      <c r="A63" s="173" t="s">
        <v>199</v>
      </c>
      <c r="B63" s="147"/>
      <c r="C63" s="147" t="e">
        <f>+C16/C6*100</f>
        <v>#DIV/0!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</row>
    <row r="64" spans="1:18" hidden="1">
      <c r="A64" s="147" t="s">
        <v>200</v>
      </c>
      <c r="B64" s="147"/>
      <c r="C64" s="147" t="e">
        <f>+C17/C6*100</f>
        <v>#DIV/0!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idden="1">
      <c r="A65" s="147" t="s">
        <v>191</v>
      </c>
      <c r="B65" s="147"/>
      <c r="C65" s="147">
        <f>+C6*0.05</f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6" spans="1:18" hidden="1">
      <c r="A66" s="147" t="s">
        <v>192</v>
      </c>
      <c r="C66" s="147" t="e">
        <f>+IF(C59+C53&gt;1,1,C59+C53)</f>
        <v>#DIV/0!</v>
      </c>
      <c r="D66" s="147" t="s">
        <v>193</v>
      </c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1:18" hidden="1">
      <c r="A67" s="172" t="s">
        <v>194</v>
      </c>
      <c r="B67" s="172"/>
      <c r="C67" s="172" t="e">
        <f>+C6*0.5*C66</f>
        <v>#DIV/0!</v>
      </c>
      <c r="D67" s="147" t="s">
        <v>195</v>
      </c>
    </row>
    <row r="68" spans="1:18" hidden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</row>
    <row r="69" spans="1:18" hidden="1">
      <c r="A69" s="171" t="s">
        <v>201</v>
      </c>
      <c r="B69" s="147"/>
      <c r="C69" s="147" t="e">
        <f>+IF(AND(C51&gt;C50,C57&gt;C56),C67,IF(C51&gt;C50,C54,IF(C57&gt;C56,C60,0)))</f>
        <v>#DIV/0!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</row>
    <row r="70" spans="1:18" hidden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idden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idden="1">
      <c r="A72" s="171" t="s">
        <v>202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8" hidden="1">
      <c r="A73" s="170" t="s">
        <v>203</v>
      </c>
      <c r="B73" s="147"/>
      <c r="C73" s="147">
        <f>+C9</f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8" hidden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1:18" hidden="1">
      <c r="A75" s="171" t="s">
        <v>204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1:18" hidden="1">
      <c r="A76" s="173" t="s">
        <v>205</v>
      </c>
      <c r="B76" s="147"/>
      <c r="C76" s="147">
        <f>+C6*0.05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hidden="1">
      <c r="A77" s="147" t="s">
        <v>192</v>
      </c>
      <c r="B77" s="147"/>
      <c r="C77" s="174" t="e">
        <f>+(C76-EFA!G25)/C76</f>
        <v>#DIV/0!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1:18" hidden="1">
      <c r="A78" s="170" t="s">
        <v>206</v>
      </c>
      <c r="B78" s="147"/>
      <c r="C78" s="147">
        <f>+IF(B45="No",0,IF(C76&gt;EFA!G25,C6*0.5*C77,0))</f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1:18" hidden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idden="1">
      <c r="A80" s="304" t="s">
        <v>207</v>
      </c>
      <c r="B80" s="305"/>
      <c r="C80" s="211" t="e">
        <f>+C78+C73+C69</f>
        <v>#DIV/0!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hidden="1">
      <c r="A81" s="175"/>
      <c r="B81" s="175"/>
      <c r="C81" s="208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1:18" hidden="1">
      <c r="A82" s="171" t="s">
        <v>208</v>
      </c>
      <c r="B82" s="175"/>
      <c r="C82" s="208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1:18" hidden="1">
      <c r="A83" s="147" t="s">
        <v>209</v>
      </c>
      <c r="B83" s="147"/>
      <c r="C83" s="147" t="e">
        <f>+C80/C4*100</f>
        <v>#DIV/0!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spans="1:18" hidden="1">
      <c r="A84" s="147" t="s">
        <v>210</v>
      </c>
      <c r="B84" s="147"/>
      <c r="C84" s="147" t="e">
        <f>+C80*2</f>
        <v>#DIV/0!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</row>
    <row r="85" spans="1:18" ht="18.75" hidden="1">
      <c r="A85" s="293" t="s">
        <v>267</v>
      </c>
      <c r="B85" s="293"/>
      <c r="C85" s="195" t="e">
        <f>+IF(OR(C83&lt;3,C80&lt;2),C80,IF(C83&lt;20,C84,IF(C83&gt;20,C4)))</f>
        <v>#DIV/0!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idden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1:18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1:18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18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</row>
    <row r="91" spans="1:18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</row>
    <row r="92" spans="1:18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18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</row>
    <row r="100" spans="1:18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</row>
    <row r="101" spans="1:18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1:18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1:18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</row>
    <row r="105" spans="1:18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</row>
    <row r="106" spans="1:18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</row>
    <row r="107" spans="1:18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8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</row>
    <row r="109" spans="1:18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</row>
    <row r="110" spans="1:18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</row>
    <row r="111" spans="1:18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</row>
    <row r="112" spans="1:18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</row>
    <row r="113" spans="1:18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</row>
    <row r="114" spans="1:18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</row>
    <row r="115" spans="1:18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</row>
    <row r="116" spans="1:18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</row>
    <row r="117" spans="1:18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</row>
    <row r="118" spans="1:18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</row>
    <row r="119" spans="1:18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</row>
    <row r="120" spans="1:18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</row>
    <row r="121" spans="1:18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</row>
    <row r="122" spans="1:18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1:18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</row>
    <row r="124" spans="1:18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</row>
    <row r="125" spans="1:18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</row>
    <row r="126" spans="1:18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</row>
    <row r="127" spans="1:18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</row>
    <row r="128" spans="1:18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</row>
    <row r="129" spans="1:18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</row>
    <row r="130" spans="1:18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</row>
    <row r="131" spans="1:18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</row>
    <row r="132" spans="1:18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</row>
    <row r="133" spans="1:18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1:18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1:18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</row>
    <row r="136" spans="1:18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</row>
    <row r="137" spans="1:18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</row>
    <row r="138" spans="1:18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</row>
    <row r="139" spans="1:18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</row>
    <row r="140" spans="1:18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</row>
    <row r="141" spans="1:18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</row>
    <row r="142" spans="1:18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</row>
    <row r="143" spans="1:18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</row>
    <row r="144" spans="1:18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</row>
    <row r="145" spans="1:18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</row>
    <row r="146" spans="1:18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</row>
    <row r="147" spans="1:18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</row>
    <row r="148" spans="1:18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</row>
    <row r="149" spans="1:18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</row>
    <row r="150" spans="1:18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</row>
    <row r="151" spans="1:18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</row>
  </sheetData>
  <sheetProtection sheet="1" objects="1" scenarios="1" formatCells="0" formatColumns="0" formatRows="0"/>
  <mergeCells count="41">
    <mergeCell ref="A15:B15"/>
    <mergeCell ref="A16:B16"/>
    <mergeCell ref="A17:B17"/>
    <mergeCell ref="A1:C1"/>
    <mergeCell ref="A2:C2"/>
    <mergeCell ref="A3:C3"/>
    <mergeCell ref="A5:B5"/>
    <mergeCell ref="A4:B4"/>
    <mergeCell ref="D6:D8"/>
    <mergeCell ref="A14:B14"/>
    <mergeCell ref="A9:B9"/>
    <mergeCell ref="A10:B10"/>
    <mergeCell ref="A7:B7"/>
    <mergeCell ref="A6:B6"/>
    <mergeCell ref="A11:B11"/>
    <mergeCell ref="A12:B12"/>
    <mergeCell ref="A13:B13"/>
    <mergeCell ref="A8:B8"/>
    <mergeCell ref="A18:B18"/>
    <mergeCell ref="A19:C19"/>
    <mergeCell ref="A27:C27"/>
    <mergeCell ref="A28:B28"/>
    <mergeCell ref="A29:B29"/>
    <mergeCell ref="A24:C24"/>
    <mergeCell ref="A25:B25"/>
    <mergeCell ref="A26:B26"/>
    <mergeCell ref="A30:B30"/>
    <mergeCell ref="A32:B32"/>
    <mergeCell ref="A42:B42"/>
    <mergeCell ref="A46:B46"/>
    <mergeCell ref="A80:B80"/>
    <mergeCell ref="A31:B31"/>
    <mergeCell ref="A85:B85"/>
    <mergeCell ref="A33:B33"/>
    <mergeCell ref="A34:B34"/>
    <mergeCell ref="A35:C35"/>
    <mergeCell ref="A36:B36"/>
    <mergeCell ref="A37:B37"/>
    <mergeCell ref="A38:B38"/>
    <mergeCell ref="A39:B39"/>
    <mergeCell ref="A41:C41"/>
  </mergeCells>
  <phoneticPr fontId="64" type="noConversion"/>
  <conditionalFormatting sqref="C46">
    <cfRule type="cellIs" dxfId="15" priority="9" stopIfTrue="1" operator="equal">
      <formula>"si"</formula>
    </cfRule>
    <cfRule type="cellIs" dxfId="14" priority="10" stopIfTrue="1" operator="equal">
      <formula>"no"</formula>
    </cfRule>
  </conditionalFormatting>
  <conditionalFormatting sqref="A6:C6 A4:C4 A9:C9 A7:A8 C7:C8">
    <cfRule type="expression" dxfId="13" priority="11" stopIfTrue="1">
      <formula>$C$5="SI"</formula>
    </cfRule>
  </conditionalFormatting>
  <conditionalFormatting sqref="A11:C14">
    <cfRule type="expression" dxfId="12" priority="12" stopIfTrue="1">
      <formula>$C$5="Si"</formula>
    </cfRule>
  </conditionalFormatting>
  <conditionalFormatting sqref="A12:C14 A10:B10">
    <cfRule type="expression" dxfId="11" priority="7">
      <formula>$C$5="Si"</formula>
    </cfRule>
  </conditionalFormatting>
  <conditionalFormatting sqref="A11:C14">
    <cfRule type="expression" dxfId="10" priority="6">
      <formula>$C$10="No"</formula>
    </cfRule>
  </conditionalFormatting>
  <conditionalFormatting sqref="A18:C18">
    <cfRule type="expression" dxfId="9" priority="13" stopIfTrue="1">
      <formula>$C$5="SI"</formula>
    </cfRule>
    <cfRule type="expression" dxfId="8" priority="14" stopIfTrue="1">
      <formula>$B$45="No"</formula>
    </cfRule>
  </conditionalFormatting>
  <conditionalFormatting sqref="A15:C16">
    <cfRule type="expression" dxfId="7" priority="15" stopIfTrue="1">
      <formula>$B$43="No"</formula>
    </cfRule>
  </conditionalFormatting>
  <conditionalFormatting sqref="A17:C17">
    <cfRule type="expression" dxfId="6" priority="4">
      <formula>"C24=""Si"""</formula>
    </cfRule>
    <cfRule type="expression" dxfId="5" priority="16" stopIfTrue="1">
      <formula>$B$43="No"</formula>
    </cfRule>
    <cfRule type="expression" dxfId="4" priority="17" stopIfTrue="1">
      <formula>$B$43="Si, almeno 2 colture"</formula>
    </cfRule>
  </conditionalFormatting>
  <conditionalFormatting sqref="A19:C19">
    <cfRule type="expression" dxfId="3" priority="18" stopIfTrue="1">
      <formula>$B$43="n.d."</formula>
    </cfRule>
  </conditionalFormatting>
  <conditionalFormatting sqref="D16">
    <cfRule type="expression" dxfId="2" priority="5">
      <formula>($C$12+$C$13)/$C$6&gt;0.75</formula>
    </cfRule>
  </conditionalFormatting>
  <conditionalFormatting sqref="A81:C81 B82:C82">
    <cfRule type="expression" dxfId="1" priority="3">
      <formula>$C$46="No"</formula>
    </cfRule>
  </conditionalFormatting>
  <conditionalFormatting sqref="C10">
    <cfRule type="expression" dxfId="0" priority="1">
      <formula>$C$5="Si"</formula>
    </cfRule>
  </conditionalFormatting>
  <dataValidations count="1">
    <dataValidation type="list" allowBlank="1" showInputMessage="1" showErrorMessage="1" sqref="C5 C10">
      <formula1>$B$22:$C$22</formula1>
    </dataValidation>
  </dataValidations>
  <pageMargins left="0.7" right="0.7" top="0.75" bottom="0.75" header="0.3" footer="0.3"/>
  <pageSetup paperSize="9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 enableFormatConditionsCalculation="0">
    <tabColor rgb="FF00B050"/>
  </sheetPr>
  <dimension ref="A1:AG49"/>
  <sheetViews>
    <sheetView zoomScale="73" zoomScaleNormal="73" zoomScalePageLayoutView="73" workbookViewId="0">
      <selection activeCell="K40" sqref="K40"/>
    </sheetView>
  </sheetViews>
  <sheetFormatPr defaultColWidth="8.85546875" defaultRowHeight="15.75"/>
  <cols>
    <col min="1" max="1" width="50.85546875" style="177" customWidth="1"/>
    <col min="2" max="2" width="9.85546875" style="177" customWidth="1"/>
    <col min="3" max="3" width="14.140625" style="177" customWidth="1"/>
    <col min="4" max="4" width="14.28515625" style="177" customWidth="1"/>
    <col min="5" max="5" width="13.42578125" style="177" customWidth="1"/>
    <col min="6" max="6" width="16" style="177" customWidth="1"/>
    <col min="7" max="7" width="14.42578125" style="177" customWidth="1"/>
    <col min="8" max="16384" width="8.85546875" style="177"/>
  </cols>
  <sheetData>
    <row r="1" spans="1:33" ht="27" customHeight="1">
      <c r="A1" s="326" t="s">
        <v>211</v>
      </c>
      <c r="B1" s="327"/>
      <c r="C1" s="327"/>
      <c r="D1" s="327"/>
      <c r="E1" s="327"/>
      <c r="F1" s="327"/>
      <c r="G1" s="328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66">
      <c r="A2" s="178" t="s">
        <v>212</v>
      </c>
      <c r="B2" s="178" t="s">
        <v>34</v>
      </c>
      <c r="C2" s="178" t="s">
        <v>213</v>
      </c>
      <c r="D2" s="178" t="s">
        <v>214</v>
      </c>
      <c r="E2" s="178" t="s">
        <v>215</v>
      </c>
      <c r="F2" s="178" t="s">
        <v>216</v>
      </c>
      <c r="G2" s="178" t="s">
        <v>217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</row>
    <row r="3" spans="1:33" ht="16.5" customHeight="1">
      <c r="A3" s="179" t="s">
        <v>218</v>
      </c>
      <c r="B3" s="180" t="s">
        <v>219</v>
      </c>
      <c r="C3" s="181"/>
      <c r="D3" s="180" t="s">
        <v>220</v>
      </c>
      <c r="E3" s="180">
        <v>1</v>
      </c>
      <c r="F3" s="180" t="s">
        <v>221</v>
      </c>
      <c r="G3" s="182">
        <f>+C3*E3</f>
        <v>0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</row>
    <row r="4" spans="1:33" ht="16.5" customHeight="1">
      <c r="A4" s="179" t="s">
        <v>222</v>
      </c>
      <c r="B4" s="180" t="s">
        <v>223</v>
      </c>
      <c r="C4" s="181"/>
      <c r="D4" s="180">
        <v>2</v>
      </c>
      <c r="E4" s="180">
        <v>1</v>
      </c>
      <c r="F4" s="180" t="s">
        <v>224</v>
      </c>
      <c r="G4" s="182">
        <f>+C4*D4*E4</f>
        <v>0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</row>
    <row r="5" spans="1:33" ht="16.5" customHeight="1">
      <c r="A5" s="329" t="s">
        <v>225</v>
      </c>
      <c r="B5" s="330"/>
      <c r="C5" s="330"/>
      <c r="D5" s="330"/>
      <c r="E5" s="330"/>
      <c r="F5" s="330"/>
      <c r="G5" s="331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16.5" customHeight="1">
      <c r="A6" s="183" t="s">
        <v>226</v>
      </c>
      <c r="B6" s="180" t="s">
        <v>223</v>
      </c>
      <c r="C6" s="181"/>
      <c r="D6" s="180">
        <v>5</v>
      </c>
      <c r="E6" s="180">
        <v>2</v>
      </c>
      <c r="F6" s="180" t="s">
        <v>227</v>
      </c>
      <c r="G6" s="182">
        <f>+C6*D6*E6</f>
        <v>0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</row>
    <row r="7" spans="1:33" ht="16.5" customHeight="1">
      <c r="A7" s="183" t="s">
        <v>228</v>
      </c>
      <c r="B7" s="180" t="s">
        <v>111</v>
      </c>
      <c r="C7" s="181"/>
      <c r="D7" s="180">
        <v>20</v>
      </c>
      <c r="E7" s="180">
        <v>1.5</v>
      </c>
      <c r="F7" s="180" t="s">
        <v>229</v>
      </c>
      <c r="G7" s="182">
        <f t="shared" ref="G7:G19" si="0">+C7*D7*E7</f>
        <v>0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</row>
    <row r="8" spans="1:33" ht="16.5" customHeight="1">
      <c r="A8" s="183" t="s">
        <v>230</v>
      </c>
      <c r="B8" s="180" t="s">
        <v>223</v>
      </c>
      <c r="C8" s="181"/>
      <c r="D8" s="180">
        <v>5</v>
      </c>
      <c r="E8" s="180">
        <v>2</v>
      </c>
      <c r="F8" s="180" t="s">
        <v>227</v>
      </c>
      <c r="G8" s="182">
        <f t="shared" si="0"/>
        <v>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</row>
    <row r="9" spans="1:33" ht="16.5" customHeight="1">
      <c r="A9" s="183" t="s">
        <v>231</v>
      </c>
      <c r="B9" s="180" t="s">
        <v>219</v>
      </c>
      <c r="C9" s="181"/>
      <c r="D9" s="180" t="s">
        <v>220</v>
      </c>
      <c r="E9" s="180">
        <v>1.5</v>
      </c>
      <c r="F9" s="180" t="s">
        <v>232</v>
      </c>
      <c r="G9" s="182">
        <f>+C9*E9</f>
        <v>0</v>
      </c>
      <c r="H9" s="184" t="str">
        <f>+IF(C9&gt;3000,"Attenzione la superficie non può oltrepassare gli 0,3 ha","")</f>
        <v/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</row>
    <row r="10" spans="1:33" ht="16.5" customHeight="1">
      <c r="A10" s="183" t="s">
        <v>233</v>
      </c>
      <c r="B10" s="180" t="s">
        <v>223</v>
      </c>
      <c r="C10" s="181"/>
      <c r="D10" s="180">
        <v>6</v>
      </c>
      <c r="E10" s="180">
        <v>1.5</v>
      </c>
      <c r="F10" s="180" t="s">
        <v>234</v>
      </c>
      <c r="G10" s="182">
        <f t="shared" si="0"/>
        <v>0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</row>
    <row r="11" spans="1:33" ht="16.5" customHeight="1">
      <c r="A11" s="183" t="s">
        <v>235</v>
      </c>
      <c r="B11" s="180" t="s">
        <v>219</v>
      </c>
      <c r="C11" s="181"/>
      <c r="D11" s="180" t="s">
        <v>220</v>
      </c>
      <c r="E11" s="180">
        <v>1.5</v>
      </c>
      <c r="F11" s="180" t="s">
        <v>232</v>
      </c>
      <c r="G11" s="182">
        <f>+C11*E11</f>
        <v>0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</row>
    <row r="12" spans="1:33" ht="16.5" customHeight="1">
      <c r="A12" s="183" t="s">
        <v>236</v>
      </c>
      <c r="B12" s="180" t="s">
        <v>223</v>
      </c>
      <c r="C12" s="181"/>
      <c r="D12" s="180">
        <v>3</v>
      </c>
      <c r="E12" s="180">
        <v>2</v>
      </c>
      <c r="F12" s="180" t="s">
        <v>237</v>
      </c>
      <c r="G12" s="182">
        <f t="shared" si="0"/>
        <v>0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</row>
    <row r="13" spans="1:33" ht="16.5" customHeight="1">
      <c r="A13" s="183" t="s">
        <v>238</v>
      </c>
      <c r="B13" s="180" t="s">
        <v>223</v>
      </c>
      <c r="C13" s="181"/>
      <c r="D13" s="180">
        <v>1</v>
      </c>
      <c r="E13" s="180">
        <v>1</v>
      </c>
      <c r="F13" s="180" t="s">
        <v>221</v>
      </c>
      <c r="G13" s="182">
        <f t="shared" si="0"/>
        <v>0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</row>
    <row r="14" spans="1:33" ht="16.5" customHeight="1">
      <c r="A14" s="183" t="s">
        <v>239</v>
      </c>
      <c r="B14" s="180" t="s">
        <v>219</v>
      </c>
      <c r="C14" s="181"/>
      <c r="D14" s="180" t="s">
        <v>220</v>
      </c>
      <c r="E14" s="180">
        <v>1</v>
      </c>
      <c r="F14" s="180" t="s">
        <v>221</v>
      </c>
      <c r="G14" s="182">
        <f>+C14*E14</f>
        <v>0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</row>
    <row r="15" spans="1:33" ht="16.5" customHeight="1">
      <c r="A15" s="179" t="s">
        <v>240</v>
      </c>
      <c r="B15" s="180" t="s">
        <v>223</v>
      </c>
      <c r="C15" s="181"/>
      <c r="D15" s="180">
        <v>6</v>
      </c>
      <c r="E15" s="180">
        <v>1.5</v>
      </c>
      <c r="F15" s="180" t="s">
        <v>234</v>
      </c>
      <c r="G15" s="182">
        <f t="shared" si="0"/>
        <v>0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</row>
    <row r="16" spans="1:33" ht="16.5" customHeight="1">
      <c r="A16" s="179" t="s">
        <v>241</v>
      </c>
      <c r="B16" s="180" t="s">
        <v>219</v>
      </c>
      <c r="C16" s="181"/>
      <c r="D16" s="180" t="s">
        <v>220</v>
      </c>
      <c r="E16" s="180">
        <v>1</v>
      </c>
      <c r="F16" s="180" t="s">
        <v>221</v>
      </c>
      <c r="G16" s="182">
        <f>+C16*E16</f>
        <v>0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</row>
    <row r="17" spans="1:33" ht="16.5" customHeight="1">
      <c r="A17" s="179" t="s">
        <v>242</v>
      </c>
      <c r="B17" s="180" t="s">
        <v>223</v>
      </c>
      <c r="C17" s="181"/>
      <c r="D17" s="180"/>
      <c r="E17" s="180"/>
      <c r="F17" s="180"/>
      <c r="G17" s="182">
        <f t="shared" si="0"/>
        <v>0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</row>
    <row r="18" spans="1:33" ht="16.5" customHeight="1">
      <c r="A18" s="185" t="s">
        <v>243</v>
      </c>
      <c r="B18" s="180" t="s">
        <v>223</v>
      </c>
      <c r="C18" s="181"/>
      <c r="D18" s="180">
        <v>6</v>
      </c>
      <c r="E18" s="180">
        <v>1.5</v>
      </c>
      <c r="F18" s="180" t="s">
        <v>234</v>
      </c>
      <c r="G18" s="182">
        <f t="shared" si="0"/>
        <v>0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</row>
    <row r="19" spans="1:33" ht="16.5" customHeight="1">
      <c r="A19" s="185" t="s">
        <v>244</v>
      </c>
      <c r="B19" s="180" t="s">
        <v>223</v>
      </c>
      <c r="C19" s="181"/>
      <c r="D19" s="180">
        <v>6</v>
      </c>
      <c r="E19" s="180">
        <v>0.3</v>
      </c>
      <c r="F19" s="180" t="s">
        <v>245</v>
      </c>
      <c r="G19" s="182">
        <f t="shared" si="0"/>
        <v>0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</row>
    <row r="20" spans="1:33" ht="16.5" customHeight="1">
      <c r="A20" s="179" t="s">
        <v>246</v>
      </c>
      <c r="B20" s="180" t="s">
        <v>219</v>
      </c>
      <c r="C20" s="181"/>
      <c r="D20" s="180" t="s">
        <v>247</v>
      </c>
      <c r="E20" s="180">
        <v>0.3</v>
      </c>
      <c r="F20" s="180" t="s">
        <v>248</v>
      </c>
      <c r="G20" s="182">
        <f>+C20*E20</f>
        <v>0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</row>
    <row r="21" spans="1:33" ht="16.5" customHeight="1">
      <c r="A21" s="179" t="s">
        <v>249</v>
      </c>
      <c r="B21" s="180" t="s">
        <v>219</v>
      </c>
      <c r="C21" s="186"/>
      <c r="D21" s="180" t="s">
        <v>220</v>
      </c>
      <c r="E21" s="180">
        <v>1</v>
      </c>
      <c r="F21" s="180" t="s">
        <v>221</v>
      </c>
      <c r="G21" s="182">
        <f>+C21*E21</f>
        <v>0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</row>
    <row r="22" spans="1:33" ht="16.5" customHeight="1">
      <c r="A22" s="187" t="s">
        <v>250</v>
      </c>
      <c r="B22" s="188" t="s">
        <v>219</v>
      </c>
      <c r="C22" s="181"/>
      <c r="D22" s="188" t="s">
        <v>220</v>
      </c>
      <c r="E22" s="188">
        <v>0.7</v>
      </c>
      <c r="F22" s="188" t="s">
        <v>251</v>
      </c>
      <c r="G22" s="182">
        <f>+C22*E22</f>
        <v>0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</row>
    <row r="23" spans="1:33" ht="16.5" customHeight="1">
      <c r="A23" s="187" t="s">
        <v>252</v>
      </c>
      <c r="B23" s="188" t="s">
        <v>219</v>
      </c>
      <c r="C23" s="189"/>
      <c r="D23" s="188" t="s">
        <v>220</v>
      </c>
      <c r="E23" s="188">
        <v>0.3</v>
      </c>
      <c r="F23" s="188" t="s">
        <v>248</v>
      </c>
      <c r="G23" s="189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</row>
    <row r="24" spans="1:33" ht="18.75">
      <c r="A24" s="332" t="s">
        <v>253</v>
      </c>
      <c r="B24" s="333"/>
      <c r="C24" s="333"/>
      <c r="D24" s="333"/>
      <c r="E24" s="333"/>
      <c r="F24" s="190" t="s">
        <v>254</v>
      </c>
      <c r="G24" s="191">
        <f>SUM(G3:G23)</f>
        <v>0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</row>
    <row r="25" spans="1:33">
      <c r="A25" s="334"/>
      <c r="B25" s="335"/>
      <c r="C25" s="335"/>
      <c r="D25" s="335"/>
      <c r="E25" s="335"/>
      <c r="F25" s="190" t="s">
        <v>16</v>
      </c>
      <c r="G25" s="192">
        <f>+G24/10000</f>
        <v>0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</row>
    <row r="26" spans="1:33">
      <c r="A26" s="193" t="s">
        <v>255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</row>
    <row r="27" spans="1:33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</row>
    <row r="28" spans="1:33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</row>
    <row r="29" spans="1:33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</row>
    <row r="30" spans="1:33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</row>
    <row r="31" spans="1:33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</row>
    <row r="32" spans="1:33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</row>
    <row r="33" spans="1:33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</row>
    <row r="34" spans="1:3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</row>
    <row r="35" spans="1:33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</row>
    <row r="36" spans="1:3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</row>
    <row r="37" spans="1:33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</row>
    <row r="38" spans="1:33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</row>
    <row r="39" spans="1:33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</row>
    <row r="40" spans="1:33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</row>
    <row r="41" spans="1:33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</row>
    <row r="42" spans="1:33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</row>
    <row r="43" spans="1:33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</row>
    <row r="44" spans="1:33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</row>
    <row r="45" spans="1:33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</row>
    <row r="46" spans="1:33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</row>
    <row r="47" spans="1:33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</row>
    <row r="48" spans="1:33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</row>
    <row r="49" spans="1:33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</row>
  </sheetData>
  <sheetProtection sheet="1" objects="1" scenarios="1" formatCells="0" formatColumns="0" formatRows="0"/>
  <mergeCells count="3">
    <mergeCell ref="A1:G1"/>
    <mergeCell ref="A5:G5"/>
    <mergeCell ref="A24:E25"/>
  </mergeCells>
  <phoneticPr fontId="64" type="noConversion"/>
  <pageMargins left="0.7" right="0.7" top="0.75" bottom="0.75" header="0.3" footer="0.3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dati impostazione</vt:lpstr>
      <vt:lpstr>Maschera di Calcolo</vt:lpstr>
      <vt:lpstr>Pagamento accoppiato</vt:lpstr>
      <vt:lpstr>Diversificazione</vt:lpstr>
      <vt:lpstr>EFA</vt:lpstr>
      <vt:lpstr>'Pagamento accoppiato'!_Hlk386390542</vt:lpstr>
      <vt:lpstr>'Pagamento accoppiato'!_Hlk389543405</vt:lpstr>
      <vt:lpstr>'Maschera di Calcolo'!Area_stampa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Stefano</cp:lastModifiedBy>
  <cp:lastPrinted>2014-04-26T13:26:03Z</cp:lastPrinted>
  <dcterms:created xsi:type="dcterms:W3CDTF">2012-02-25T08:45:26Z</dcterms:created>
  <dcterms:modified xsi:type="dcterms:W3CDTF">2015-10-14T11:57:24Z</dcterms:modified>
</cp:coreProperties>
</file>